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6390" windowHeight="3930" activeTab="4"/>
  </bookViews>
  <sheets>
    <sheet name="By Species" sheetId="1" r:id="rId1"/>
    <sheet name="By Year" sheetId="2" r:id="rId2"/>
    <sheet name="Methods" sheetId="3" r:id="rId3"/>
    <sheet name="Graphs" sheetId="4" r:id="rId4"/>
    <sheet name="Raw Data" sheetId="5" r:id="rId5"/>
    <sheet name="Boulder Reservoir" sheetId="6" r:id="rId6"/>
    <sheet name="by Survey Route" sheetId="7" r:id="rId7"/>
  </sheets>
  <definedNames/>
  <calcPr fullCalcOnLoad="1"/>
</workbook>
</file>

<file path=xl/sharedStrings.xml><?xml version="1.0" encoding="utf-8"?>
<sst xmlns="http://schemas.openxmlformats.org/spreadsheetml/2006/main" count="918" uniqueCount="162">
  <si>
    <t>Species</t>
  </si>
  <si>
    <t>FH</t>
  </si>
  <si>
    <t>RL</t>
  </si>
  <si>
    <t>RT</t>
  </si>
  <si>
    <t>BE</t>
  </si>
  <si>
    <t>NH</t>
  </si>
  <si>
    <t>AK</t>
  </si>
  <si>
    <t>PF</t>
  </si>
  <si>
    <t>PE</t>
  </si>
  <si>
    <t>BR</t>
  </si>
  <si>
    <t>SC</t>
  </si>
  <si>
    <t>EC</t>
  </si>
  <si>
    <t>SL</t>
  </si>
  <si>
    <t>GE</t>
  </si>
  <si>
    <t>M</t>
  </si>
  <si>
    <t>UF</t>
  </si>
  <si>
    <t>UR</t>
  </si>
  <si>
    <t>UB</t>
  </si>
  <si>
    <t>UE</t>
  </si>
  <si>
    <t>Trips</t>
  </si>
  <si>
    <t>IL</t>
  </si>
  <si>
    <t>RM</t>
  </si>
  <si>
    <t>All Routes, 1991-92</t>
  </si>
  <si>
    <t>Original</t>
  </si>
  <si>
    <t>All</t>
  </si>
  <si>
    <t>All/km</t>
  </si>
  <si>
    <t>Orig./km</t>
  </si>
  <si>
    <t>BR: Boulder Reservoir (19 km)</t>
  </si>
  <si>
    <t>SC: South County (32 km)</t>
  </si>
  <si>
    <t>EC: East County (30 km)</t>
  </si>
  <si>
    <t>IL: Interlocken (19.5 km)</t>
  </si>
  <si>
    <t>RM: Rabbit Mountain (43.5 km)</t>
  </si>
  <si>
    <t>All Routes, 1989-90, 114 km</t>
  </si>
  <si>
    <t>All Routes, 1990-91, 114 km</t>
  </si>
  <si>
    <t>All Routes, 1992-93, 38.5 km</t>
  </si>
  <si>
    <t>All Routes, 1993-94, 144 km</t>
  </si>
  <si>
    <t>All Routes, 1994-95, 144 km</t>
  </si>
  <si>
    <t>All Routes, 1997-98, 124.5 km</t>
  </si>
  <si>
    <t>All Routes, 1996-97, 124.5 km</t>
  </si>
  <si>
    <t>All Routes, 1995-96, 144 km</t>
  </si>
  <si>
    <t>All Routes, 1998-99, 144.5 km</t>
  </si>
  <si>
    <t>All Routes, 1999-2000, 144.5 km</t>
  </si>
  <si>
    <t>SL: Stearns Lake (20 km)</t>
  </si>
  <si>
    <t>All Routes, 2000-01, 144.5 km</t>
  </si>
  <si>
    <t>All Routes, 2001-02</t>
  </si>
  <si>
    <t>All Routes, 2002-03, 144.5 km</t>
  </si>
  <si>
    <t>All Routes, 2003-04, 144.5 km</t>
  </si>
  <si>
    <t>All Routes, 2004-05, 144.5 km</t>
  </si>
  <si>
    <t>["Original Routes"]</t>
  </si>
  <si>
    <t>Winter Ending</t>
  </si>
  <si>
    <t>Bald Eagle</t>
  </si>
  <si>
    <t>Northern Harrier</t>
  </si>
  <si>
    <t>Red-tailed Hawk</t>
  </si>
  <si>
    <t>Golden Eagle</t>
  </si>
  <si>
    <t>Prairie Falcon</t>
  </si>
  <si>
    <t>American Kestrel</t>
  </si>
  <si>
    <t>R.-legged Hawk</t>
  </si>
  <si>
    <t>Ferrug. Hawk</t>
  </si>
  <si>
    <t>Route</t>
  </si>
  <si>
    <t>Rabbit Mountain</t>
  </si>
  <si>
    <t>Boulder Reservoir</t>
  </si>
  <si>
    <t>South County</t>
  </si>
  <si>
    <t>Interlocken</t>
  </si>
  <si>
    <t>East County</t>
  </si>
  <si>
    <t>Stearns Lake</t>
  </si>
  <si>
    <t>Mean Individuals per Kilometer, All Routes</t>
  </si>
  <si>
    <t>R-legged Hawk</t>
  </si>
  <si>
    <t>Red-Tailed Hawk</t>
  </si>
  <si>
    <t>Mean Bald Eagles per Kilometer, All Routes</t>
  </si>
  <si>
    <t>Mean Northern Harriers per Kilometer, All Routes</t>
  </si>
  <si>
    <t>Mean Red-tailed Hawks per Kilometer, All Routes</t>
  </si>
  <si>
    <t>Mean Ferruginous Hawks per Kilometer, All Routes</t>
  </si>
  <si>
    <t>Mean Rough-Legged Hawks per Kilometer, All Routes</t>
  </si>
  <si>
    <t>Mean Golden Eagles per Kilometer, All Routes</t>
  </si>
  <si>
    <t>Mean American Kestrels per Kilometer, All Routes</t>
  </si>
  <si>
    <t>Mean Prairie Falcons per Kilometer, All Routes</t>
  </si>
  <si>
    <t>R-tailed Hawk</t>
  </si>
  <si>
    <t>Ferr. Hawk</t>
  </si>
  <si>
    <t>Am. Kestrel</t>
  </si>
  <si>
    <t>. 066</t>
  </si>
  <si>
    <t xml:space="preserve">Ferr. Hawk </t>
  </si>
  <si>
    <t>Feruginous Hawk</t>
  </si>
  <si>
    <t>Rough-legged Hawk</t>
  </si>
  <si>
    <t>South County Route (32 km), Mean Individuals per Kilometer</t>
  </si>
  <si>
    <t>Interlocken Route (19.5 km), Mean Individuals per Kilometer</t>
  </si>
  <si>
    <t>Boulder Reservoir Route (19 km), Mean Individuals per Kilometer</t>
  </si>
  <si>
    <t>Rabbit Mountain Route (43.5 km), Mean Individuals per Kilometer</t>
  </si>
  <si>
    <t>East County Route (30 km), Mean Individuals per Kilometer</t>
  </si>
  <si>
    <t>Stearns Lake Route (20 km), Mean Individuals per Kilometer</t>
  </si>
  <si>
    <t>Boulder County Nature Association Wintering Raptor Survey</t>
  </si>
  <si>
    <t>Methods:</t>
  </si>
  <si>
    <t>east on Coal Creek Drive, south on McCaslin, west on SH 128, south on SH 93, east on Marshall to Cherryvale.</t>
  </si>
  <si>
    <t>West on Jasper, south on North 119th, east on Arapahoe, north on County Line, west on Isabelle, north on North 75th to SH 52.</t>
  </si>
  <si>
    <t>north on 111th, east on Arapahoe to North 119th.</t>
  </si>
  <si>
    <t>North 63rd, west on Niwot, south and back 1.6 km on North 51st, west on Niwot, south on US 36, east on Longhorn to Boulder Valley Ranch.</t>
  </si>
  <si>
    <t>Interlocken Boulevard, north on US 287, west on Industrial Lane, north on North 95th, east on Dillon to South 104th, south</t>
  </si>
  <si>
    <t>2.4 km to terminus, then back and west on Dillon to South 88th.</t>
  </si>
  <si>
    <t>Surveys are suspended when wind velocity exceeds 40 kph.</t>
  </si>
  <si>
    <t xml:space="preserve">40 km/hr, stopping only when they see a perched or soaring raptor with the naked eye. Raptor sighting locations are marked on 7 1/2' topographic maps.  </t>
  </si>
  <si>
    <t>Goals:</t>
  </si>
  <si>
    <t>north and back 2.5 mi. on North 53rd, east on Ute Highway, north on 75th, east on Woodland, south on 95th to Ute Highway.</t>
  </si>
  <si>
    <t>west on Nelson, north on North 49th, east on St. Vrain, north on North 61st, west on Hygiene, north on US 36, east on Ute Highway,</t>
  </si>
  <si>
    <t>south and back 1.6 km on 112th, north on 104th , west on Empire, north on North 95th, east on South Boulder, north on Carie Drive, east on Baseline,</t>
  </si>
  <si>
    <t>Boulder County Nature Association: www.BCNA.org</t>
  </si>
  <si>
    <t>The wintering raptor surveys were initiated in 1983 to track populations of wintering raptors on the plains of Boulder County. We</t>
  </si>
  <si>
    <t>hoped to observe the relationship of raptor numbers to habitat availability (wetlands, native grasslands) and prey</t>
  </si>
  <si>
    <t>availability (particularly prairie dogs and other rodent prey).</t>
  </si>
  <si>
    <t>Mean Individuals per Kilometer, Original Routes (Boulder Reservoir, Rabbit Mountain, South County)</t>
  </si>
  <si>
    <t>SS</t>
  </si>
  <si>
    <t>CH</t>
  </si>
  <si>
    <t>Rabbit South</t>
  </si>
  <si>
    <t>Rabbit North</t>
  </si>
  <si>
    <t>Stearns</t>
  </si>
  <si>
    <t>Total</t>
  </si>
  <si>
    <t>MR</t>
  </si>
  <si>
    <t>All Routes, 2005-06, 144.5 km</t>
  </si>
  <si>
    <t>Rabbit All</t>
  </si>
  <si>
    <t>Mean</t>
  </si>
  <si>
    <t>All Routes, 2006-07, 144.5 km</t>
  </si>
  <si>
    <t>HO</t>
  </si>
  <si>
    <t>LO</t>
  </si>
  <si>
    <t>All Routes, 2007-08, 144.5 km</t>
  </si>
  <si>
    <t>17</t>
  </si>
  <si>
    <t>12</t>
  </si>
  <si>
    <t>13</t>
  </si>
  <si>
    <t>2008</t>
  </si>
  <si>
    <t>All Raptors</t>
  </si>
  <si>
    <t>Teams of two to four volunteers drive survey routes on the plains of Boulder County 1-3 times monthly, 15 October-15 March, at a steady rate of</t>
  </si>
  <si>
    <r>
      <t xml:space="preserve">Citation: </t>
    </r>
    <r>
      <rPr>
        <sz val="10"/>
        <color indexed="8"/>
        <rFont val="Arial"/>
        <family val="2"/>
      </rPr>
      <t>Cass, S., R. L. Gietzen, S. R . Jones, and R. J. McKee. 2009. Boulder County Nature Association 1983-2006 wintering raptor survey data.</t>
    </r>
  </si>
  <si>
    <r>
      <t xml:space="preserve">Stearns Lake, </t>
    </r>
    <r>
      <rPr>
        <sz val="10"/>
        <color indexed="8"/>
        <rFont val="Arial"/>
        <family val="2"/>
      </rPr>
      <t>1999-2009 (20 Km): Begins at Arapahoe and County Line, South on County Line, south on 119th, west on Dillon,</t>
    </r>
  </si>
  <si>
    <r>
      <t>East County</t>
    </r>
    <r>
      <rPr>
        <sz val="10"/>
        <color indexed="8"/>
        <rFont val="Arial"/>
        <family val="2"/>
      </rPr>
      <t>, 1994-2009 (30 km): Begins at SH 52 and North 75th, east on SH 52, south and east on Kenosha, south on County Line,</t>
    </r>
  </si>
  <si>
    <r>
      <t>Interlocken</t>
    </r>
    <r>
      <rPr>
        <sz val="10"/>
        <color indexed="8"/>
        <rFont val="Arial"/>
        <family val="2"/>
      </rPr>
      <t>, 1990-96 (19.5 km): Begins at west terminus of Dillon Road, Dillon east to South 88th, south to Coalton Road, east to</t>
    </r>
  </si>
  <si>
    <r>
      <t>South County</t>
    </r>
    <r>
      <rPr>
        <sz val="10"/>
        <color indexed="8"/>
        <rFont val="Arial"/>
        <family val="2"/>
      </rPr>
      <t xml:space="preserve">, 1990-2009 (32 km): Begins at Baseline and Cherryvale, south on Cherryvale, east on Marshall, south on 66th, </t>
    </r>
  </si>
  <si>
    <r>
      <t>Rabbit Mountain</t>
    </r>
    <r>
      <rPr>
        <sz val="10"/>
        <color indexed="8"/>
        <rFont val="Arial"/>
        <family val="2"/>
      </rPr>
      <t>, 1990-2009 (43.5 km): Begins at 95th and Nelson, west on Nelson, south on 75th, west on Plateau, north on North 63rd,</t>
    </r>
  </si>
  <si>
    <r>
      <t xml:space="preserve">Boulder Reservoir, </t>
    </r>
    <r>
      <rPr>
        <sz val="10"/>
        <color indexed="8"/>
        <rFont val="Arial"/>
        <family val="2"/>
      </rPr>
      <t>1983-2009 (19 km): Begins at Boulder Reservoir west entrance, north on North 51st, east on Monarch, north on</t>
    </r>
  </si>
  <si>
    <r>
      <t xml:space="preserve">Survey Route Locations: </t>
    </r>
    <r>
      <rPr>
        <sz val="10"/>
        <color indexed="8"/>
        <rFont val="Arial"/>
        <family val="2"/>
      </rPr>
      <t>To download maps, go to http://www.bcna.org/rapforms.html</t>
    </r>
  </si>
  <si>
    <t>All Routes, 1990-2008</t>
  </si>
  <si>
    <t>All Original Routes</t>
  </si>
  <si>
    <t>Original Routes, 1990-2008</t>
  </si>
  <si>
    <t>Survey Routes, 1990-2008</t>
  </si>
  <si>
    <t>By survey root</t>
  </si>
  <si>
    <t>Row 1</t>
  </si>
  <si>
    <t>Row 2</t>
  </si>
  <si>
    <t>Lykins</t>
  </si>
  <si>
    <t>All Routes, 2008-09, 144.5 km</t>
  </si>
  <si>
    <t>15</t>
  </si>
  <si>
    <t>25</t>
  </si>
  <si>
    <t>19</t>
  </si>
  <si>
    <t>2009</t>
  </si>
  <si>
    <t>22</t>
  </si>
  <si>
    <t>All Routes, 2009-10, 144.5 km</t>
  </si>
  <si>
    <t>27</t>
  </si>
  <si>
    <t>29</t>
  </si>
  <si>
    <t>2010</t>
  </si>
  <si>
    <t>2011 raptor data. Mean number per trip.</t>
  </si>
  <si>
    <t>2011</t>
  </si>
  <si>
    <t>Mean Individuals per Survey per Route, 1989-90 to 2010-11</t>
  </si>
  <si>
    <t>All Routes, 2010-11, 144.5 km</t>
  </si>
  <si>
    <t>34</t>
  </si>
  <si>
    <t>35</t>
  </si>
  <si>
    <t>16</t>
  </si>
  <si>
    <t>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</si>
</sst>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0.00000000"/>
    <numFmt numFmtId="175" formatCode="[$-409]dddd\,\ mmmm\ dd\,\ yyyy"/>
    <numFmt numFmtId="176" formatCode="[$-409]h:mm:ss\ AM/PM"/>
  </numFmts>
  <fonts count="16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2"/>
    </font>
    <font>
      <sz val="5.25"/>
      <name val="Arial"/>
      <family val="0"/>
    </font>
    <font>
      <b/>
      <sz val="5.25"/>
      <name val="Arial"/>
      <family val="0"/>
    </font>
    <font>
      <b/>
      <sz val="8"/>
      <name val="Arial"/>
      <family val="0"/>
    </font>
    <font>
      <sz val="8"/>
      <color indexed="8"/>
      <name val="Arial"/>
      <family val="2"/>
    </font>
    <font>
      <b/>
      <sz val="9"/>
      <name val="Arial"/>
      <family val="0"/>
    </font>
    <font>
      <b/>
      <u val="single"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 val="single"/>
      <sz val="8"/>
      <color indexed="8"/>
      <name val="Arial"/>
      <family val="2"/>
    </font>
    <font>
      <sz val="3.75"/>
      <name val="Arial"/>
      <family val="0"/>
    </font>
    <font>
      <b/>
      <sz val="8"/>
      <color indexed="8"/>
      <name val="Arial"/>
      <family val="2"/>
    </font>
    <font>
      <i/>
      <sz val="8"/>
      <name val="Arial"/>
      <family val="0"/>
    </font>
    <font>
      <vertAlign val="superscript"/>
      <sz val="5.25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170" fontId="0" fillId="0" borderId="0" xfId="0" applyNumberFormat="1" applyAlignment="1">
      <alignment horizontal="right"/>
    </xf>
    <xf numFmtId="170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70" fontId="1" fillId="0" borderId="0" xfId="0" applyNumberFormat="1" applyFont="1" applyAlignment="1">
      <alignment/>
    </xf>
    <xf numFmtId="170" fontId="1" fillId="0" borderId="0" xfId="0" applyNumberFormat="1" applyFont="1" applyFill="1" applyAlignment="1">
      <alignment/>
    </xf>
    <xf numFmtId="170" fontId="6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1" xfId="0" applyFont="1" applyFill="1" applyBorder="1" applyAlignment="1">
      <alignment/>
    </xf>
    <xf numFmtId="49" fontId="5" fillId="0" borderId="1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 horizontal="left"/>
    </xf>
    <xf numFmtId="17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left"/>
    </xf>
    <xf numFmtId="170" fontId="5" fillId="0" borderId="1" xfId="0" applyNumberFormat="1" applyFont="1" applyBorder="1" applyAlignment="1">
      <alignment horizontal="left"/>
    </xf>
    <xf numFmtId="170" fontId="5" fillId="0" borderId="1" xfId="0" applyNumberFormat="1" applyFont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/>
    </xf>
    <xf numFmtId="0" fontId="14" fillId="0" borderId="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4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170" fontId="1" fillId="0" borderId="0" xfId="0" applyNumberFormat="1" applyFont="1" applyAlignment="1">
      <alignment/>
    </xf>
    <xf numFmtId="17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Bald Eagle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Graphs!$A$4:$B$4</c:f>
              <c:strCache>
                <c:ptCount val="1"/>
                <c:pt idx="0">
                  <c:v>Bald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Graphs!$C$3:$U$3</c:f>
              <c:numCache/>
            </c:numRef>
          </c:cat>
          <c:val>
            <c:numRef>
              <c:f>Graphs!$C$4:$U$4</c:f>
              <c:numCache/>
            </c:numRef>
          </c:val>
          <c:smooth val="0"/>
        </c:ser>
        <c:marker val="1"/>
        <c:axId val="64797455"/>
        <c:axId val="46306184"/>
      </c:lineChart>
      <c:catAx>
        <c:axId val="64797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06184"/>
        <c:crosses val="autoZero"/>
        <c:auto val="1"/>
        <c:lblOffset val="100"/>
        <c:noMultiLvlLbl val="0"/>
      </c:catAx>
      <c:valAx>
        <c:axId val="46306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97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Rabbit Mountain Survey Route, 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Graphs!$A$193:$B$193</c:f>
              <c:strCache>
                <c:ptCount val="1"/>
                <c:pt idx="0">
                  <c:v>Rabbit Mountain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Graphs!$C$192:$V$192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Graphs!$C$193:$V$193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0640665"/>
        <c:axId val="7330530"/>
      </c:line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330530"/>
        <c:crosses val="autoZero"/>
        <c:auto val="1"/>
        <c:lblOffset val="100"/>
        <c:noMultiLvlLbl val="0"/>
      </c:catAx>
      <c:valAx>
        <c:axId val="7330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40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Boulder Reservoir Survey Route, 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Graphs!$A$210:$B$210</c:f>
              <c:strCache>
                <c:ptCount val="1"/>
                <c:pt idx="0">
                  <c:v>Rabbit Mountain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Graphs!$C$209:$V$209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Graphs!$C$210:$V$210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5974771"/>
        <c:axId val="56902028"/>
      </c:line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02028"/>
        <c:crosses val="autoZero"/>
        <c:auto val="1"/>
        <c:lblOffset val="100"/>
        <c:noMultiLvlLbl val="0"/>
      </c:catAx>
      <c:valAx>
        <c:axId val="569020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747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South  County Survey Route, 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Graphs!$A$213:$B$213</c:f>
              <c:strCache>
                <c:ptCount val="1"/>
                <c:pt idx="0">
                  <c:v>South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Graphs!$C$212:$V$212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Graphs!$C$213:$V$213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42356205"/>
        <c:axId val="45661526"/>
      </c:line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1526"/>
        <c:crosses val="autoZero"/>
        <c:auto val="1"/>
        <c:lblOffset val="100"/>
        <c:noMultiLvlLbl val="0"/>
      </c:catAx>
      <c:valAx>
        <c:axId val="456615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3562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East County Survey Route, 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Graphs!$A$231:$B$231</c:f>
              <c:strCache>
                <c:ptCount val="1"/>
                <c:pt idx="0">
                  <c:v>East County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Graphs!$C$230:$V$230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Graphs!$C$231:$V$231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8300551"/>
        <c:axId val="7596096"/>
      </c:lineChart>
      <c:catAx>
        <c:axId val="83005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596096"/>
        <c:crosses val="autoZero"/>
        <c:auto val="1"/>
        <c:lblOffset val="100"/>
        <c:noMultiLvlLbl val="0"/>
      </c:catAx>
      <c:valAx>
        <c:axId val="75960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00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Stearns Lake Survey Route, 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Graphs!$A$234:$B$234</c:f>
              <c:strCache>
                <c:ptCount val="1"/>
                <c:pt idx="0">
                  <c:v>Stearns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Graphs!$C$233:$V$233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Graphs!$C$234:$V$234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1256001"/>
        <c:axId val="11304010"/>
      </c:lineChart>
      <c:catAx>
        <c:axId val="1256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560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 Raptors,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Graphs!$A$104:$B$104</c:f>
              <c:strCache>
                <c:ptCount val="1"/>
                <c:pt idx="0">
                  <c:v>All Original Routes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Graphs!$C$103:$W$103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Graphs!$C$104:$W$104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34627227"/>
        <c:axId val="43209588"/>
      </c:lineChart>
      <c:catAx>
        <c:axId val="34627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209588"/>
        <c:crosses val="autoZero"/>
        <c:auto val="1"/>
        <c:lblOffset val="100"/>
        <c:noMultiLvlLbl val="0"/>
      </c:catAx>
      <c:valAx>
        <c:axId val="43209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27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Bald Eagle,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Graphs!$A$109:$B$109</c:f>
              <c:strCache>
                <c:ptCount val="1"/>
                <c:pt idx="0">
                  <c:v>Bald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Graphs!$C$108:$V$108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Graphs!$C$109:$V$109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3341973"/>
        <c:axId val="10315710"/>
      </c:lineChart>
      <c:catAx>
        <c:axId val="533419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15710"/>
        <c:crosses val="autoZero"/>
        <c:auto val="1"/>
        <c:lblOffset val="100"/>
        <c:noMultiLvlLbl val="0"/>
      </c:catAx>
      <c:valAx>
        <c:axId val="10315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3419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Northern Harrier,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Graphs!$A$126:$B$126</c:f>
              <c:strCache>
                <c:ptCount val="1"/>
                <c:pt idx="0">
                  <c:v>Northern Harrier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Graphs!$C$125:$V$125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Graphs!$C$126:$V$126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5732527"/>
        <c:axId val="30266152"/>
      </c:lineChart>
      <c:catAx>
        <c:axId val="257325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266152"/>
        <c:crosses val="autoZero"/>
        <c:auto val="1"/>
        <c:lblOffset val="100"/>
        <c:noMultiLvlLbl val="0"/>
      </c:catAx>
      <c:valAx>
        <c:axId val="30266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7325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Red-tailed Hawk,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Graphs!$A$129:$B$129</c:f>
              <c:strCache>
                <c:ptCount val="1"/>
                <c:pt idx="0">
                  <c:v>Red-tailed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Graphs!$C$128:$V$128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Graphs!$C$129:$V$129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3959913"/>
        <c:axId val="35639218"/>
      </c:line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639218"/>
        <c:crosses val="autoZero"/>
        <c:auto val="1"/>
        <c:lblOffset val="100"/>
        <c:noMultiLvlLbl val="0"/>
      </c:catAx>
      <c:valAx>
        <c:axId val="35639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Ferruginous Hawk,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Graphs!$A$147:$B$147</c:f>
              <c:strCache>
                <c:ptCount val="1"/>
                <c:pt idx="0">
                  <c:v>Ferrug.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Graphs!$C$146:$V$146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Graphs!$C$147:$V$147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2317507"/>
        <c:axId val="1095516"/>
      </c:line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95516"/>
        <c:crosses val="autoZero"/>
        <c:auto val="1"/>
        <c:lblOffset val="100"/>
        <c:noMultiLvlLbl val="0"/>
      </c:catAx>
      <c:valAx>
        <c:axId val="1095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Northern Harrier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Graphs!$A$22:$B$22</c:f>
              <c:strCache>
                <c:ptCount val="1"/>
                <c:pt idx="0">
                  <c:v>Northern Harrier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Graphs!$C$21:$W$21</c:f>
              <c:numCache/>
            </c:numRef>
          </c:cat>
          <c:val>
            <c:numRef>
              <c:f>Graphs!$C$22:$W$22</c:f>
              <c:numCache/>
            </c:numRef>
          </c:val>
          <c:smooth val="0"/>
        </c:ser>
        <c:marker val="1"/>
        <c:axId val="14102473"/>
        <c:axId val="59813394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813394"/>
        <c:crosses val="autoZero"/>
        <c:auto val="1"/>
        <c:lblOffset val="100"/>
        <c:noMultiLvlLbl val="0"/>
      </c:catAx>
      <c:valAx>
        <c:axId val="598133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024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Rough-legged Hawk,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Graphs!$A$150:$B$150</c:f>
              <c:strCache>
                <c:ptCount val="1"/>
                <c:pt idx="0">
                  <c:v>R.-legged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Graphs!$C$149:$W$149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Graphs!$C$150:$W$150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9859645"/>
        <c:axId val="21627942"/>
      </c:lineChart>
      <c:catAx>
        <c:axId val="9859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627942"/>
        <c:crosses val="autoZero"/>
        <c:auto val="1"/>
        <c:lblOffset val="100"/>
        <c:noMultiLvlLbl val="0"/>
      </c:catAx>
      <c:valAx>
        <c:axId val="216279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59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Golden Eagle,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Graphs!$A$168:$B$168</c:f>
              <c:strCache>
                <c:ptCount val="1"/>
                <c:pt idx="0">
                  <c:v>Golden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Graphs!$C$167:$W$167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Graphs!$C$168:$W$168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0433751"/>
        <c:axId val="7032848"/>
      </c:lineChart>
      <c:catAx>
        <c:axId val="60433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48"/>
        <c:crosses val="autoZero"/>
        <c:auto val="1"/>
        <c:lblOffset val="100"/>
        <c:noMultiLvlLbl val="0"/>
      </c:catAx>
      <c:valAx>
        <c:axId val="70328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433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American Kestrel,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Graphs!$A$171:$B$171</c:f>
              <c:strCache>
                <c:ptCount val="1"/>
                <c:pt idx="0">
                  <c:v>American Kestrel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Graphs!$C$170:$W$170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Graphs!$C$171:$W$171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63295633"/>
        <c:axId val="32789786"/>
      </c:lineChart>
      <c:catAx>
        <c:axId val="63295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auto val="1"/>
        <c:lblOffset val="100"/>
        <c:noMultiLvlLbl val="0"/>
      </c:catAx>
      <c:valAx>
        <c:axId val="32789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2956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Prairie Falcon, Original Routes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Graphs!$A$188:$B$188</c:f>
              <c:strCache>
                <c:ptCount val="1"/>
                <c:pt idx="0">
                  <c:v>Prairie Falcon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Graphs!$C$187:$W$187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cat>
          <c:val>
            <c:numRef>
              <c:f>Graphs!$C$188:$W$188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marker val="1"/>
        <c:axId val="26672619"/>
        <c:axId val="38726980"/>
      </c:lineChart>
      <c:catAx>
        <c:axId val="266726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726980"/>
        <c:crosses val="autoZero"/>
        <c:auto val="1"/>
        <c:lblOffset val="100"/>
        <c:noMultiLvlLbl val="0"/>
      </c:catAx>
      <c:valAx>
        <c:axId val="387269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726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Ferruginous Hawk and Bald Eagle, Original Routes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Graphs!$A$252</c:f>
              <c:strCache>
                <c:ptCount val="1"/>
                <c:pt idx="0">
                  <c:v>Bald Eagle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Graphs!$B$251:$V$251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Graphs!$B$252:$V$252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12998501"/>
        <c:axId val="49877646"/>
      </c:scatterChart>
      <c:valAx>
        <c:axId val="129985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Ferruginous Hawks/km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9877646"/>
        <c:crosses val="autoZero"/>
        <c:crossBetween val="midCat"/>
        <c:dispUnits/>
      </c:valAx>
      <c:valAx>
        <c:axId val="498776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Bald Eagles/km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99850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Northern Harrier and American Kestrel, Original Routes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Graphs!$A$255</c:f>
              <c:strCache>
                <c:ptCount val="1"/>
                <c:pt idx="0">
                  <c:v>American Kestrel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1"/>
            <c:trendlineLbl>
              <c:numFmt formatCode="General"/>
            </c:trendlineLbl>
          </c:trendline>
          <c:xVal>
            <c:numRef>
              <c:f>Graphs!$B$254:$V$254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xVal>
          <c:yVal>
            <c:numRef>
              <c:f>Graphs!$B$255:$V$255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yVal>
          <c:smooth val="0"/>
        </c:ser>
        <c:axId val="46245631"/>
        <c:axId val="13557496"/>
      </c:scatterChart>
      <c:valAx>
        <c:axId val="46245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Northern Harriers/km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557496"/>
        <c:crosses val="autoZero"/>
        <c:crossBetween val="midCat"/>
        <c:dispUnits/>
      </c:valAx>
      <c:valAx>
        <c:axId val="13557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American Kestrels/km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2456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Boulder Reservoir Survey Route 1984-2008 Eagles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'Boulder Reservoir'!$A$15:$B$15</c:f>
              <c:strCache>
                <c:ptCount val="1"/>
                <c:pt idx="0">
                  <c:v>Bald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Reservoir'!$C$14:$AA$14</c:f>
              <c:numCache/>
            </c:numRef>
          </c:cat>
          <c:val>
            <c:numRef>
              <c:f>'Boulder Reservoir'!$C$15:$AA$15</c:f>
              <c:numCache/>
            </c:numRef>
          </c:val>
          <c:smooth val="0"/>
        </c:ser>
        <c:ser>
          <c:idx val="1"/>
          <c:order val="1"/>
          <c:tx>
            <c:strRef>
              <c:f>'Boulder Reservoir'!$A$16:$B$16</c:f>
              <c:strCache>
                <c:ptCount val="1"/>
                <c:pt idx="0">
                  <c:v>Golden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Reservoir'!$C$14:$AA$14</c:f>
              <c:numCache/>
            </c:numRef>
          </c:cat>
          <c:val>
            <c:numRef>
              <c:f>'Boulder Reservoir'!$C$16:$AA$16</c:f>
              <c:numCache/>
            </c:numRef>
          </c:val>
          <c:smooth val="0"/>
        </c:ser>
        <c:marker val="1"/>
        <c:axId val="54908601"/>
        <c:axId val="24415362"/>
      </c:lineChart>
      <c:catAx>
        <c:axId val="54908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415362"/>
        <c:crosses val="autoZero"/>
        <c:auto val="1"/>
        <c:lblOffset val="100"/>
        <c:noMultiLvlLbl val="0"/>
      </c:catAx>
      <c:valAx>
        <c:axId val="244153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0860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Boulder Reservoir Survey Route 1984-2008 Buteos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'Boulder Reservoir'!$A$36:$B$36</c:f>
              <c:strCache>
                <c:ptCount val="1"/>
                <c:pt idx="0">
                  <c:v>R-tailed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Reservoir'!$C$35:$AA$35</c:f>
              <c:numCache/>
            </c:numRef>
          </c:cat>
          <c:val>
            <c:numRef>
              <c:f>'Boulder Reservoir'!$C$36:$AA$36</c:f>
              <c:numCache/>
            </c:numRef>
          </c:val>
          <c:smooth val="0"/>
        </c:ser>
        <c:ser>
          <c:idx val="1"/>
          <c:order val="1"/>
          <c:tx>
            <c:strRef>
              <c:f>'Boulder Reservoir'!$A$37:$B$37</c:f>
              <c:strCache>
                <c:ptCount val="1"/>
                <c:pt idx="0">
                  <c:v>Ferr.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Reservoir'!$C$35:$AA$35</c:f>
              <c:numCache/>
            </c:numRef>
          </c:cat>
          <c:val>
            <c:numRef>
              <c:f>'Boulder Reservoir'!$C$37:$AA$37</c:f>
              <c:numCache/>
            </c:numRef>
          </c:val>
          <c:smooth val="0"/>
        </c:ser>
        <c:ser>
          <c:idx val="2"/>
          <c:order val="2"/>
          <c:tx>
            <c:strRef>
              <c:f>'Boulder Reservoir'!$A$38:$B$38</c:f>
              <c:strCache>
                <c:ptCount val="1"/>
                <c:pt idx="0">
                  <c:v>R-legged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Reservoir'!$C$35:$AA$35</c:f>
              <c:numCache/>
            </c:numRef>
          </c:cat>
          <c:val>
            <c:numRef>
              <c:f>'Boulder Reservoir'!$C$38:$AA$38</c:f>
              <c:numCache/>
            </c:numRef>
          </c:val>
          <c:smooth val="0"/>
        </c:ser>
        <c:marker val="1"/>
        <c:axId val="18411667"/>
        <c:axId val="31487276"/>
      </c:line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487276"/>
        <c:crosses val="autoZero"/>
        <c:auto val="1"/>
        <c:lblOffset val="100"/>
        <c:noMultiLvlLbl val="0"/>
      </c:catAx>
      <c:valAx>
        <c:axId val="31487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4116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Boulder Reservoir Survey Route 1984-2008 Northern Harrier and American Kestrel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'Boulder Reservoir'!$A$42:$B$42</c:f>
              <c:strCache>
                <c:ptCount val="1"/>
                <c:pt idx="0">
                  <c:v>Northern Harrier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Reservoir'!$C$41:$AA$41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'Boulder Reservoir'!$C$42:$AA$42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'Boulder Reservoir'!$A$43:$B$43</c:f>
              <c:strCache>
                <c:ptCount val="1"/>
                <c:pt idx="0">
                  <c:v>Am. Kestrel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'Boulder Reservoir'!$C$41:$AA$41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cat>
          <c:val>
            <c:numRef>
              <c:f>'Boulder Reservoir'!$C$43:$AA$43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14950029"/>
        <c:axId val="332534"/>
      </c:lineChart>
      <c:catAx>
        <c:axId val="149500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534"/>
        <c:crosses val="autoZero"/>
        <c:auto val="1"/>
        <c:lblOffset val="100"/>
        <c:noMultiLvlLbl val="0"/>
      </c:catAx>
      <c:valAx>
        <c:axId val="332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950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Northern Harrier and American Kestrel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'Boulder Reservoir'!$A$43</c:f>
              <c:strCache>
                <c:ptCount val="1"/>
                <c:pt idx="0">
                  <c:v>Am. Kestrel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'Boulder Reservoir'!$B$42:$AA$42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'Boulder Reservoir'!$B$43:$AA$43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2992807"/>
        <c:axId val="26935264"/>
      </c:scatterChart>
      <c:valAx>
        <c:axId val="2992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Northern Harriers/km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935264"/>
        <c:crosses val="autoZero"/>
        <c:crossBetween val="midCat"/>
        <c:dispUnits/>
      </c:valAx>
      <c:valAx>
        <c:axId val="269352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American Kestrels/km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28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Red-tailed Hawk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Graphs!$A$25:$B$25</c:f>
              <c:strCache>
                <c:ptCount val="1"/>
                <c:pt idx="0">
                  <c:v>Red-Tailed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Graphs!$C$24:$U$24</c:f>
              <c:numCache/>
            </c:numRef>
          </c:cat>
          <c:val>
            <c:numRef>
              <c:f>Graphs!$C$25:$U$25</c:f>
              <c:numCache/>
            </c:numRef>
          </c:val>
          <c:smooth val="0"/>
        </c:ser>
        <c:marker val="1"/>
        <c:axId val="1449635"/>
        <c:axId val="13046716"/>
      </c:lineChart>
      <c:catAx>
        <c:axId val="1449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046716"/>
        <c:crosses val="autoZero"/>
        <c:auto val="1"/>
        <c:lblOffset val="100"/>
        <c:noMultiLvlLbl val="0"/>
      </c:catAx>
      <c:valAx>
        <c:axId val="130467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49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Bald Eagle and Ferruginous Hawk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'Boulder Reservoir'!$A$62</c:f>
              <c:strCache>
                <c:ptCount val="1"/>
                <c:pt idx="0">
                  <c:v>Ferr. Hawk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0"/>
            <c:dispRSqr val="0"/>
          </c:trendline>
          <c:xVal>
            <c:numRef>
              <c:f>'Boulder Reservoir'!$B$61:$AA$61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xVal>
          <c:yVal>
            <c:numRef>
              <c:f>'Boulder Reservoir'!$B$62:$AA$62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yVal>
          <c:smooth val="0"/>
        </c:ser>
        <c:axId val="41090785"/>
        <c:axId val="34272746"/>
      </c:scatterChart>
      <c:valAx>
        <c:axId val="41090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Bald Eagles/km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72746"/>
        <c:crosses val="autoZero"/>
        <c:crossBetween val="midCat"/>
        <c:dispUnits/>
      </c:valAx>
      <c:valAx>
        <c:axId val="342727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Ferruginous Hawks/km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09078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Ferruginous Hawk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Graphs!$A$42:$B$42</c:f>
              <c:strCache>
                <c:ptCount val="1"/>
                <c:pt idx="0">
                  <c:v>Ferrug.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Graphs!$C$41:$U$41</c:f>
              <c:numCache/>
            </c:numRef>
          </c:cat>
          <c:val>
            <c:numRef>
              <c:f>Graphs!$C$42:$U$42</c:f>
              <c:numCache/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Rough-legged Hawk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Graphs!$A$45:$B$45</c:f>
              <c:strCache>
                <c:ptCount val="1"/>
                <c:pt idx="0">
                  <c:v>R-legged Hawk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Graphs!$C$44:$U$44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Graphs!$C$45:$U$45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48706231"/>
        <c:axId val="35702896"/>
      </c:line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02896"/>
        <c:crosses val="autoZero"/>
        <c:auto val="1"/>
        <c:lblOffset val="100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062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Golden Eagle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Graphs!$A$63:$B$63</c:f>
              <c:strCache>
                <c:ptCount val="1"/>
                <c:pt idx="0">
                  <c:v>Golden Eagle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Graphs!$C$62:$U$62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cat>
          <c:val>
            <c:numRef>
              <c:f>Graphs!$C$63:$U$63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0"/>
        </c:ser>
        <c:marker val="1"/>
        <c:axId val="52890609"/>
        <c:axId val="6253434"/>
      </c:line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American Kestrel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Graphs!$A$66:$B$66</c:f>
              <c:strCache>
                <c:ptCount val="1"/>
                <c:pt idx="0">
                  <c:v>American Kestrel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Graphs!$C$65:$V$65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Graphs!$C$66:$V$66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56280907"/>
        <c:axId val="36766116"/>
      </c:line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Prairie Falcon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Graphs!$A$84:$B$84</c:f>
              <c:strCache>
                <c:ptCount val="1"/>
                <c:pt idx="0">
                  <c:v>Prairie Falcon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Graphs!$C$83:$V$83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Graphs!$C$84:$V$84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62459589"/>
        <c:axId val="25265390"/>
      </c:line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All Raptors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Graphs!$A$87:$B$87</c:f>
              <c:strCache>
                <c:ptCount val="1"/>
                <c:pt idx="0">
                  <c:v>All Raptors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Graphs!$C$86:$V$86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Graphs!$C$87:$V$87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marker val="1"/>
        <c:axId val="26061919"/>
        <c:axId val="33230680"/>
      </c:line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latin typeface="Arial"/>
                    <a:ea typeface="Arial"/>
                    <a:cs typeface="Arial"/>
                  </a:rPr>
                  <a:t>Mean Individuals/km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0.50775</cdr:x>
      <cdr:y>0.53175</cdr:y>
    </cdr:from>
    <cdr:to>
      <cdr:x>0.63275</cdr:x>
      <cdr:y>0.60775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11430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8</xdr:col>
      <xdr:colOff>38100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0" y="752475"/>
        <a:ext cx="3086100" cy="211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381000</xdr:colOff>
      <xdr:row>5</xdr:row>
      <xdr:rowOff>0</xdr:rowOff>
    </xdr:from>
    <xdr:to>
      <xdr:col>18</xdr:col>
      <xdr:colOff>19050</xdr:colOff>
      <xdr:row>18</xdr:row>
      <xdr:rowOff>47625</xdr:rowOff>
    </xdr:to>
    <xdr:graphicFrame>
      <xdr:nvGraphicFramePr>
        <xdr:cNvPr id="2" name="Chart 3"/>
        <xdr:cNvGraphicFramePr/>
      </xdr:nvGraphicFramePr>
      <xdr:xfrm>
        <a:off x="3810000" y="733425"/>
        <a:ext cx="3067050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26</xdr:row>
      <xdr:rowOff>0</xdr:rowOff>
    </xdr:from>
    <xdr:to>
      <xdr:col>7</xdr:col>
      <xdr:colOff>381000</xdr:colOff>
      <xdr:row>39</xdr:row>
      <xdr:rowOff>28575</xdr:rowOff>
    </xdr:to>
    <xdr:graphicFrame>
      <xdr:nvGraphicFramePr>
        <xdr:cNvPr id="3" name="Chart 4"/>
        <xdr:cNvGraphicFramePr/>
      </xdr:nvGraphicFramePr>
      <xdr:xfrm>
        <a:off x="9525" y="4057650"/>
        <a:ext cx="3038475" cy="2133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381000</xdr:colOff>
      <xdr:row>26</xdr:row>
      <xdr:rowOff>0</xdr:rowOff>
    </xdr:from>
    <xdr:to>
      <xdr:col>18</xdr:col>
      <xdr:colOff>9525</xdr:colOff>
      <xdr:row>39</xdr:row>
      <xdr:rowOff>9525</xdr:rowOff>
    </xdr:to>
    <xdr:graphicFrame>
      <xdr:nvGraphicFramePr>
        <xdr:cNvPr id="4" name="Chart 5"/>
        <xdr:cNvGraphicFramePr/>
      </xdr:nvGraphicFramePr>
      <xdr:xfrm>
        <a:off x="3810000" y="4057650"/>
        <a:ext cx="3057525" cy="2114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46</xdr:row>
      <xdr:rowOff>28575</xdr:rowOff>
    </xdr:from>
    <xdr:to>
      <xdr:col>8</xdr:col>
      <xdr:colOff>66675</xdr:colOff>
      <xdr:row>59</xdr:row>
      <xdr:rowOff>47625</xdr:rowOff>
    </xdr:to>
    <xdr:graphicFrame>
      <xdr:nvGraphicFramePr>
        <xdr:cNvPr id="5" name="Chart 6"/>
        <xdr:cNvGraphicFramePr/>
      </xdr:nvGraphicFramePr>
      <xdr:xfrm>
        <a:off x="0" y="7267575"/>
        <a:ext cx="3114675" cy="21240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19050</xdr:colOff>
      <xdr:row>46</xdr:row>
      <xdr:rowOff>0</xdr:rowOff>
    </xdr:from>
    <xdr:to>
      <xdr:col>18</xdr:col>
      <xdr:colOff>28575</xdr:colOff>
      <xdr:row>59</xdr:row>
      <xdr:rowOff>19050</xdr:rowOff>
    </xdr:to>
    <xdr:graphicFrame>
      <xdr:nvGraphicFramePr>
        <xdr:cNvPr id="6" name="Chart 8"/>
        <xdr:cNvGraphicFramePr/>
      </xdr:nvGraphicFramePr>
      <xdr:xfrm>
        <a:off x="3829050" y="7239000"/>
        <a:ext cx="3057525" cy="21240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67</xdr:row>
      <xdr:rowOff>19050</xdr:rowOff>
    </xdr:from>
    <xdr:to>
      <xdr:col>8</xdr:col>
      <xdr:colOff>28575</xdr:colOff>
      <xdr:row>80</xdr:row>
      <xdr:rowOff>9525</xdr:rowOff>
    </xdr:to>
    <xdr:graphicFrame>
      <xdr:nvGraphicFramePr>
        <xdr:cNvPr id="7" name="Chart 9"/>
        <xdr:cNvGraphicFramePr/>
      </xdr:nvGraphicFramePr>
      <xdr:xfrm>
        <a:off x="0" y="10563225"/>
        <a:ext cx="3076575" cy="2095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381000</xdr:colOff>
      <xdr:row>67</xdr:row>
      <xdr:rowOff>19050</xdr:rowOff>
    </xdr:from>
    <xdr:to>
      <xdr:col>18</xdr:col>
      <xdr:colOff>9525</xdr:colOff>
      <xdr:row>80</xdr:row>
      <xdr:rowOff>28575</xdr:rowOff>
    </xdr:to>
    <xdr:graphicFrame>
      <xdr:nvGraphicFramePr>
        <xdr:cNvPr id="8" name="Chart 10"/>
        <xdr:cNvGraphicFramePr/>
      </xdr:nvGraphicFramePr>
      <xdr:xfrm>
        <a:off x="3810000" y="10563225"/>
        <a:ext cx="3057525" cy="21145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87</xdr:row>
      <xdr:rowOff>152400</xdr:rowOff>
    </xdr:from>
    <xdr:to>
      <xdr:col>8</xdr:col>
      <xdr:colOff>0</xdr:colOff>
      <xdr:row>101</xdr:row>
      <xdr:rowOff>0</xdr:rowOff>
    </xdr:to>
    <xdr:graphicFrame>
      <xdr:nvGraphicFramePr>
        <xdr:cNvPr id="9" name="Chart 11"/>
        <xdr:cNvGraphicFramePr/>
      </xdr:nvGraphicFramePr>
      <xdr:xfrm>
        <a:off x="0" y="13858875"/>
        <a:ext cx="3048000" cy="2114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194</xdr:row>
      <xdr:rowOff>9525</xdr:rowOff>
    </xdr:from>
    <xdr:to>
      <xdr:col>8</xdr:col>
      <xdr:colOff>28575</xdr:colOff>
      <xdr:row>207</xdr:row>
      <xdr:rowOff>19050</xdr:rowOff>
    </xdr:to>
    <xdr:graphicFrame>
      <xdr:nvGraphicFramePr>
        <xdr:cNvPr id="10" name="Chart 12"/>
        <xdr:cNvGraphicFramePr/>
      </xdr:nvGraphicFramePr>
      <xdr:xfrm>
        <a:off x="9525" y="30032325"/>
        <a:ext cx="3067050" cy="21145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352425</xdr:colOff>
      <xdr:row>194</xdr:row>
      <xdr:rowOff>9525</xdr:rowOff>
    </xdr:from>
    <xdr:to>
      <xdr:col>18</xdr:col>
      <xdr:colOff>47625</xdr:colOff>
      <xdr:row>207</xdr:row>
      <xdr:rowOff>0</xdr:rowOff>
    </xdr:to>
    <xdr:graphicFrame>
      <xdr:nvGraphicFramePr>
        <xdr:cNvPr id="11" name="Chart 13"/>
        <xdr:cNvGraphicFramePr/>
      </xdr:nvGraphicFramePr>
      <xdr:xfrm>
        <a:off x="3781425" y="30032325"/>
        <a:ext cx="3124200" cy="2095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214</xdr:row>
      <xdr:rowOff>0</xdr:rowOff>
    </xdr:from>
    <xdr:to>
      <xdr:col>8</xdr:col>
      <xdr:colOff>9525</xdr:colOff>
      <xdr:row>226</xdr:row>
      <xdr:rowOff>152400</xdr:rowOff>
    </xdr:to>
    <xdr:graphicFrame>
      <xdr:nvGraphicFramePr>
        <xdr:cNvPr id="12" name="Chart 14"/>
        <xdr:cNvGraphicFramePr/>
      </xdr:nvGraphicFramePr>
      <xdr:xfrm>
        <a:off x="0" y="33166050"/>
        <a:ext cx="3057525" cy="20955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333375</xdr:colOff>
      <xdr:row>214</xdr:row>
      <xdr:rowOff>0</xdr:rowOff>
    </xdr:from>
    <xdr:to>
      <xdr:col>18</xdr:col>
      <xdr:colOff>9525</xdr:colOff>
      <xdr:row>226</xdr:row>
      <xdr:rowOff>152400</xdr:rowOff>
    </xdr:to>
    <xdr:graphicFrame>
      <xdr:nvGraphicFramePr>
        <xdr:cNvPr id="13" name="Chart 15"/>
        <xdr:cNvGraphicFramePr/>
      </xdr:nvGraphicFramePr>
      <xdr:xfrm>
        <a:off x="3762375" y="33166050"/>
        <a:ext cx="3105150" cy="2095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235</xdr:row>
      <xdr:rowOff>9525</xdr:rowOff>
    </xdr:from>
    <xdr:to>
      <xdr:col>8</xdr:col>
      <xdr:colOff>28575</xdr:colOff>
      <xdr:row>248</xdr:row>
      <xdr:rowOff>47625</xdr:rowOff>
    </xdr:to>
    <xdr:graphicFrame>
      <xdr:nvGraphicFramePr>
        <xdr:cNvPr id="14" name="Chart 16"/>
        <xdr:cNvGraphicFramePr/>
      </xdr:nvGraphicFramePr>
      <xdr:xfrm>
        <a:off x="0" y="36499800"/>
        <a:ext cx="3076575" cy="20859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352425</xdr:colOff>
      <xdr:row>87</xdr:row>
      <xdr:rowOff>142875</xdr:rowOff>
    </xdr:from>
    <xdr:to>
      <xdr:col>18</xdr:col>
      <xdr:colOff>9525</xdr:colOff>
      <xdr:row>101</xdr:row>
      <xdr:rowOff>0</xdr:rowOff>
    </xdr:to>
    <xdr:graphicFrame>
      <xdr:nvGraphicFramePr>
        <xdr:cNvPr id="15" name="Chart 17"/>
        <xdr:cNvGraphicFramePr/>
      </xdr:nvGraphicFramePr>
      <xdr:xfrm>
        <a:off x="3781425" y="13849350"/>
        <a:ext cx="3086100" cy="21240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9525</xdr:colOff>
      <xdr:row>110</xdr:row>
      <xdr:rowOff>9525</xdr:rowOff>
    </xdr:from>
    <xdr:to>
      <xdr:col>8</xdr:col>
      <xdr:colOff>66675</xdr:colOff>
      <xdr:row>122</xdr:row>
      <xdr:rowOff>142875</xdr:rowOff>
    </xdr:to>
    <xdr:graphicFrame>
      <xdr:nvGraphicFramePr>
        <xdr:cNvPr id="16" name="Chart 18"/>
        <xdr:cNvGraphicFramePr/>
      </xdr:nvGraphicFramePr>
      <xdr:xfrm>
        <a:off x="9525" y="17345025"/>
        <a:ext cx="3105150" cy="20764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352425</xdr:colOff>
      <xdr:row>110</xdr:row>
      <xdr:rowOff>9525</xdr:rowOff>
    </xdr:from>
    <xdr:to>
      <xdr:col>18</xdr:col>
      <xdr:colOff>47625</xdr:colOff>
      <xdr:row>123</xdr:row>
      <xdr:rowOff>0</xdr:rowOff>
    </xdr:to>
    <xdr:graphicFrame>
      <xdr:nvGraphicFramePr>
        <xdr:cNvPr id="17" name="Chart 19"/>
        <xdr:cNvGraphicFramePr/>
      </xdr:nvGraphicFramePr>
      <xdr:xfrm>
        <a:off x="3781425" y="17345025"/>
        <a:ext cx="3124200" cy="20955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130</xdr:row>
      <xdr:rowOff>76200</xdr:rowOff>
    </xdr:from>
    <xdr:to>
      <xdr:col>8</xdr:col>
      <xdr:colOff>9525</xdr:colOff>
      <xdr:row>143</xdr:row>
      <xdr:rowOff>133350</xdr:rowOff>
    </xdr:to>
    <xdr:graphicFrame>
      <xdr:nvGraphicFramePr>
        <xdr:cNvPr id="18" name="Chart 20"/>
        <xdr:cNvGraphicFramePr/>
      </xdr:nvGraphicFramePr>
      <xdr:xfrm>
        <a:off x="0" y="20574000"/>
        <a:ext cx="3057525" cy="21621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9</xdr:col>
      <xdr:colOff>352425</xdr:colOff>
      <xdr:row>130</xdr:row>
      <xdr:rowOff>95250</xdr:rowOff>
    </xdr:from>
    <xdr:to>
      <xdr:col>18</xdr:col>
      <xdr:colOff>28575</xdr:colOff>
      <xdr:row>143</xdr:row>
      <xdr:rowOff>104775</xdr:rowOff>
    </xdr:to>
    <xdr:graphicFrame>
      <xdr:nvGraphicFramePr>
        <xdr:cNvPr id="19" name="Chart 21"/>
        <xdr:cNvGraphicFramePr/>
      </xdr:nvGraphicFramePr>
      <xdr:xfrm>
        <a:off x="3781425" y="20593050"/>
        <a:ext cx="3105150" cy="21145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151</xdr:row>
      <xdr:rowOff>38100</xdr:rowOff>
    </xdr:from>
    <xdr:to>
      <xdr:col>8</xdr:col>
      <xdr:colOff>66675</xdr:colOff>
      <xdr:row>164</xdr:row>
      <xdr:rowOff>85725</xdr:rowOff>
    </xdr:to>
    <xdr:graphicFrame>
      <xdr:nvGraphicFramePr>
        <xdr:cNvPr id="20" name="Chart 22"/>
        <xdr:cNvGraphicFramePr/>
      </xdr:nvGraphicFramePr>
      <xdr:xfrm>
        <a:off x="0" y="23822025"/>
        <a:ext cx="3114675" cy="19050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9</xdr:col>
      <xdr:colOff>352425</xdr:colOff>
      <xdr:row>151</xdr:row>
      <xdr:rowOff>19050</xdr:rowOff>
    </xdr:from>
    <xdr:to>
      <xdr:col>18</xdr:col>
      <xdr:colOff>85725</xdr:colOff>
      <xdr:row>164</xdr:row>
      <xdr:rowOff>66675</xdr:rowOff>
    </xdr:to>
    <xdr:graphicFrame>
      <xdr:nvGraphicFramePr>
        <xdr:cNvPr id="21" name="Chart 23"/>
        <xdr:cNvGraphicFramePr/>
      </xdr:nvGraphicFramePr>
      <xdr:xfrm>
        <a:off x="3781425" y="23802975"/>
        <a:ext cx="3162300" cy="19050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7</xdr:col>
      <xdr:colOff>371475</xdr:colOff>
      <xdr:row>184</xdr:row>
      <xdr:rowOff>152400</xdr:rowOff>
    </xdr:to>
    <xdr:graphicFrame>
      <xdr:nvGraphicFramePr>
        <xdr:cNvPr id="22" name="Chart 24"/>
        <xdr:cNvGraphicFramePr/>
      </xdr:nvGraphicFramePr>
      <xdr:xfrm>
        <a:off x="0" y="26784300"/>
        <a:ext cx="3038475" cy="186690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9</xdr:col>
      <xdr:colOff>352425</xdr:colOff>
      <xdr:row>172</xdr:row>
      <xdr:rowOff>0</xdr:rowOff>
    </xdr:from>
    <xdr:to>
      <xdr:col>18</xdr:col>
      <xdr:colOff>66675</xdr:colOff>
      <xdr:row>184</xdr:row>
      <xdr:rowOff>133350</xdr:rowOff>
    </xdr:to>
    <xdr:graphicFrame>
      <xdr:nvGraphicFramePr>
        <xdr:cNvPr id="23" name="Chart 25"/>
        <xdr:cNvGraphicFramePr/>
      </xdr:nvGraphicFramePr>
      <xdr:xfrm>
        <a:off x="3781425" y="26784300"/>
        <a:ext cx="3143250" cy="18478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352425</xdr:colOff>
      <xdr:row>235</xdr:row>
      <xdr:rowOff>0</xdr:rowOff>
    </xdr:from>
    <xdr:to>
      <xdr:col>18</xdr:col>
      <xdr:colOff>9525</xdr:colOff>
      <xdr:row>248</xdr:row>
      <xdr:rowOff>57150</xdr:rowOff>
    </xdr:to>
    <xdr:graphicFrame>
      <xdr:nvGraphicFramePr>
        <xdr:cNvPr id="24" name="Chart 26"/>
        <xdr:cNvGraphicFramePr/>
      </xdr:nvGraphicFramePr>
      <xdr:xfrm>
        <a:off x="3781425" y="36490275"/>
        <a:ext cx="3086100" cy="21050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0</xdr:colOff>
      <xdr:row>256</xdr:row>
      <xdr:rowOff>104775</xdr:rowOff>
    </xdr:from>
    <xdr:to>
      <xdr:col>8</xdr:col>
      <xdr:colOff>9525</xdr:colOff>
      <xdr:row>271</xdr:row>
      <xdr:rowOff>9525</xdr:rowOff>
    </xdr:to>
    <xdr:graphicFrame>
      <xdr:nvGraphicFramePr>
        <xdr:cNvPr id="25" name="Chart 27"/>
        <xdr:cNvGraphicFramePr/>
      </xdr:nvGraphicFramePr>
      <xdr:xfrm>
        <a:off x="0" y="39862125"/>
        <a:ext cx="3057525" cy="2276475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0.43675</cdr:x>
      <cdr:y>0.5155</cdr:y>
    </cdr:from>
    <cdr:to>
      <cdr:x>0.641</cdr:x>
      <cdr:y>0.57275</cdr:y>
    </cdr:to>
    <cdr:sp>
      <cdr:nvSpPr>
        <cdr:cNvPr id="1" name="TextBox 1"/>
        <cdr:cNvSpPr txBox="1">
          <a:spLocks noChangeArrowheads="1"/>
        </cdr:cNvSpPr>
      </cdr:nvSpPr>
      <cdr:spPr>
        <a:xfrm>
          <a:off x="1647825" y="1143000"/>
          <a:ext cx="771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133350</xdr:rowOff>
    </xdr:from>
    <xdr:to>
      <xdr:col>10</xdr:col>
      <xdr:colOff>200025</xdr:colOff>
      <xdr:row>32</xdr:row>
      <xdr:rowOff>9525</xdr:rowOff>
    </xdr:to>
    <xdr:graphicFrame>
      <xdr:nvGraphicFramePr>
        <xdr:cNvPr id="1" name="Chart 1"/>
        <xdr:cNvGraphicFramePr/>
      </xdr:nvGraphicFramePr>
      <xdr:xfrm>
        <a:off x="0" y="2581275"/>
        <a:ext cx="3819525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17</xdr:row>
      <xdr:rowOff>142875</xdr:rowOff>
    </xdr:from>
    <xdr:to>
      <xdr:col>21</xdr:col>
      <xdr:colOff>352425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4143375" y="2590800"/>
        <a:ext cx="38100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85725</xdr:rowOff>
    </xdr:from>
    <xdr:to>
      <xdr:col>10</xdr:col>
      <xdr:colOff>171450</xdr:colOff>
      <xdr:row>58</xdr:row>
      <xdr:rowOff>76200</xdr:rowOff>
    </xdr:to>
    <xdr:graphicFrame>
      <xdr:nvGraphicFramePr>
        <xdr:cNvPr id="3" name="Chart 3"/>
        <xdr:cNvGraphicFramePr/>
      </xdr:nvGraphicFramePr>
      <xdr:xfrm>
        <a:off x="0" y="6753225"/>
        <a:ext cx="3790950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200025</xdr:colOff>
      <xdr:row>44</xdr:row>
      <xdr:rowOff>104775</xdr:rowOff>
    </xdr:from>
    <xdr:to>
      <xdr:col>21</xdr:col>
      <xdr:colOff>333375</xdr:colOff>
      <xdr:row>58</xdr:row>
      <xdr:rowOff>66675</xdr:rowOff>
    </xdr:to>
    <xdr:graphicFrame>
      <xdr:nvGraphicFramePr>
        <xdr:cNvPr id="4" name="Chart 4"/>
        <xdr:cNvGraphicFramePr/>
      </xdr:nvGraphicFramePr>
      <xdr:xfrm>
        <a:off x="4181475" y="6772275"/>
        <a:ext cx="3752850" cy="2190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62</xdr:row>
      <xdr:rowOff>142875</xdr:rowOff>
    </xdr:from>
    <xdr:to>
      <xdr:col>10</xdr:col>
      <xdr:colOff>142875</xdr:colOff>
      <xdr:row>77</xdr:row>
      <xdr:rowOff>152400</xdr:rowOff>
    </xdr:to>
    <xdr:graphicFrame>
      <xdr:nvGraphicFramePr>
        <xdr:cNvPr id="5" name="Chart 5"/>
        <xdr:cNvGraphicFramePr/>
      </xdr:nvGraphicFramePr>
      <xdr:xfrm>
        <a:off x="9525" y="9648825"/>
        <a:ext cx="3752850" cy="2400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3"/>
  <sheetViews>
    <sheetView workbookViewId="0" topLeftCell="E1">
      <selection activeCell="Q14" sqref="Q14"/>
    </sheetView>
  </sheetViews>
  <sheetFormatPr defaultColWidth="9.140625" defaultRowHeight="12.75"/>
  <cols>
    <col min="1" max="16384" width="6.28125" style="11" customWidth="1"/>
  </cols>
  <sheetData>
    <row r="1" ht="11.25">
      <c r="A1" s="15" t="s">
        <v>65</v>
      </c>
    </row>
    <row r="2" ht="11.25">
      <c r="F2" s="11" t="s">
        <v>49</v>
      </c>
    </row>
    <row r="3" spans="1:26" s="16" customFormat="1" ht="11.25">
      <c r="A3" s="16" t="s">
        <v>0</v>
      </c>
      <c r="C3" s="16">
        <v>1990</v>
      </c>
      <c r="D3" s="16">
        <v>1991</v>
      </c>
      <c r="E3" s="16">
        <v>1992</v>
      </c>
      <c r="F3" s="16">
        <v>1993</v>
      </c>
      <c r="G3" s="16">
        <v>1994</v>
      </c>
      <c r="H3" s="16">
        <v>1995</v>
      </c>
      <c r="I3" s="16">
        <v>1996</v>
      </c>
      <c r="J3" s="16">
        <v>1997</v>
      </c>
      <c r="K3" s="16">
        <v>1998</v>
      </c>
      <c r="L3" s="16">
        <v>1999</v>
      </c>
      <c r="M3" s="16">
        <v>2000</v>
      </c>
      <c r="N3" s="16">
        <v>2001</v>
      </c>
      <c r="O3" s="16">
        <v>2002</v>
      </c>
      <c r="P3" s="16">
        <v>2003</v>
      </c>
      <c r="Q3" s="16">
        <v>2004</v>
      </c>
      <c r="R3" s="16">
        <v>2005</v>
      </c>
      <c r="S3" s="16">
        <v>2006</v>
      </c>
      <c r="T3" s="17">
        <v>2007</v>
      </c>
      <c r="U3" s="17">
        <v>2008</v>
      </c>
      <c r="V3" s="17">
        <v>2009</v>
      </c>
      <c r="W3" s="17">
        <v>2010</v>
      </c>
      <c r="X3" s="17">
        <v>2011</v>
      </c>
      <c r="Y3" s="16" t="s">
        <v>113</v>
      </c>
      <c r="Z3" s="16" t="s">
        <v>117</v>
      </c>
    </row>
    <row r="4" spans="1:26" s="8" customFormat="1" ht="11.25">
      <c r="A4" s="8" t="s">
        <v>50</v>
      </c>
      <c r="C4" s="8">
        <v>0.035</v>
      </c>
      <c r="D4" s="8">
        <v>0.092</v>
      </c>
      <c r="E4" s="8">
        <v>0.07</v>
      </c>
      <c r="F4" s="8">
        <v>0.171</v>
      </c>
      <c r="G4" s="8">
        <v>0.1</v>
      </c>
      <c r="H4" s="8">
        <v>0.079</v>
      </c>
      <c r="I4" s="8">
        <v>0.048</v>
      </c>
      <c r="J4" s="8">
        <v>0.041</v>
      </c>
      <c r="K4" s="8">
        <v>0.046</v>
      </c>
      <c r="L4" s="8">
        <v>0.044</v>
      </c>
      <c r="M4" s="8">
        <v>0.034</v>
      </c>
      <c r="N4" s="8">
        <v>0.055</v>
      </c>
      <c r="O4" s="8">
        <v>0.061</v>
      </c>
      <c r="P4" s="8">
        <v>0.07</v>
      </c>
      <c r="Q4" s="8">
        <v>0.088</v>
      </c>
      <c r="R4" s="8">
        <v>0.056</v>
      </c>
      <c r="S4" s="8">
        <v>0.073</v>
      </c>
      <c r="T4" s="9">
        <v>0.058</v>
      </c>
      <c r="U4" s="9">
        <v>0.026</v>
      </c>
      <c r="V4" s="9">
        <v>0.036</v>
      </c>
      <c r="W4" s="9">
        <v>0.025</v>
      </c>
      <c r="X4" s="9">
        <f>'By Year'!J376</f>
        <v>0.04073356401384083</v>
      </c>
      <c r="Y4" s="8">
        <f>SUM(C4:X4)</f>
        <v>1.3487335640138411</v>
      </c>
      <c r="Z4" s="8">
        <f>Y4/22</f>
        <v>0.06130607109153823</v>
      </c>
    </row>
    <row r="5" spans="1:26" s="8" customFormat="1" ht="11.25">
      <c r="A5" s="8" t="s">
        <v>51</v>
      </c>
      <c r="C5" s="8">
        <v>0.007</v>
      </c>
      <c r="D5" s="8">
        <v>0.021</v>
      </c>
      <c r="E5" s="8">
        <v>0.018</v>
      </c>
      <c r="F5" s="8">
        <v>0</v>
      </c>
      <c r="G5" s="8">
        <v>0.009</v>
      </c>
      <c r="H5" s="8">
        <v>0.008</v>
      </c>
      <c r="I5" s="8">
        <v>0.024</v>
      </c>
      <c r="J5" s="8">
        <v>0.029</v>
      </c>
      <c r="K5" s="8">
        <v>0.015</v>
      </c>
      <c r="L5" s="8">
        <v>0.04</v>
      </c>
      <c r="M5" s="8">
        <v>0.018</v>
      </c>
      <c r="N5" s="8">
        <v>0.032</v>
      </c>
      <c r="O5" s="8">
        <v>0.034</v>
      </c>
      <c r="P5" s="8">
        <v>0.011</v>
      </c>
      <c r="Q5" s="8">
        <v>0.03</v>
      </c>
      <c r="R5" s="8">
        <v>0.033</v>
      </c>
      <c r="S5" s="8">
        <v>0.052</v>
      </c>
      <c r="T5" s="9">
        <v>0.016</v>
      </c>
      <c r="U5" s="9">
        <v>0.019</v>
      </c>
      <c r="V5" s="9">
        <v>0.026</v>
      </c>
      <c r="W5" s="9">
        <v>0.017</v>
      </c>
      <c r="X5" s="9">
        <f>'By Year'!J377</f>
        <v>0.02750173010380623</v>
      </c>
      <c r="Y5" s="8">
        <f aca="true" t="shared" si="0" ref="Y5:Y12">SUM(C5:X5)</f>
        <v>0.4865017301038064</v>
      </c>
      <c r="Z5" s="8">
        <f aca="true" t="shared" si="1" ref="Z5:Z12">Y5/22</f>
        <v>0.02211371500471847</v>
      </c>
    </row>
    <row r="6" spans="1:26" s="8" customFormat="1" ht="11.25">
      <c r="A6" s="8" t="s">
        <v>67</v>
      </c>
      <c r="C6" s="8">
        <v>0.114</v>
      </c>
      <c r="D6" s="8">
        <v>0.149</v>
      </c>
      <c r="E6" s="8">
        <v>0.245</v>
      </c>
      <c r="F6" s="8">
        <v>0.171</v>
      </c>
      <c r="G6" s="8">
        <v>0.162</v>
      </c>
      <c r="H6" s="8">
        <v>0.137</v>
      </c>
      <c r="I6" s="8">
        <v>0.202</v>
      </c>
      <c r="J6" s="8">
        <v>0.189</v>
      </c>
      <c r="K6" s="8">
        <v>0.227</v>
      </c>
      <c r="L6" s="8">
        <v>0.239</v>
      </c>
      <c r="M6" s="8">
        <v>0.241</v>
      </c>
      <c r="N6" s="8">
        <v>0.248</v>
      </c>
      <c r="O6" s="8">
        <v>0.284</v>
      </c>
      <c r="P6" s="8">
        <v>0.235</v>
      </c>
      <c r="Q6" s="8">
        <v>0.212</v>
      </c>
      <c r="R6" s="8">
        <v>0.255</v>
      </c>
      <c r="S6" s="8">
        <v>0.302</v>
      </c>
      <c r="T6" s="9">
        <v>0.352</v>
      </c>
      <c r="U6" s="9">
        <v>0.303</v>
      </c>
      <c r="V6" s="9">
        <v>0.305</v>
      </c>
      <c r="W6" s="9">
        <v>0.302</v>
      </c>
      <c r="X6" s="9">
        <f>'By Year'!J378</f>
        <v>0.39196539792387547</v>
      </c>
      <c r="Y6" s="8">
        <f t="shared" si="0"/>
        <v>5.265965397923875</v>
      </c>
      <c r="Z6" s="8">
        <f t="shared" si="1"/>
        <v>0.2393620635419943</v>
      </c>
    </row>
    <row r="7" spans="1:26" s="8" customFormat="1" ht="11.25">
      <c r="A7" s="8" t="s">
        <v>57</v>
      </c>
      <c r="C7" s="8">
        <v>0.171</v>
      </c>
      <c r="D7" s="8">
        <v>0.193</v>
      </c>
      <c r="E7" s="8">
        <v>0.229</v>
      </c>
      <c r="F7" s="8">
        <v>0.2</v>
      </c>
      <c r="G7" s="8">
        <v>0.161</v>
      </c>
      <c r="H7" s="8">
        <v>0.071</v>
      </c>
      <c r="I7" s="8">
        <v>0.046</v>
      </c>
      <c r="J7" s="8">
        <v>0.04</v>
      </c>
      <c r="K7" s="8">
        <v>0.04</v>
      </c>
      <c r="L7" s="8">
        <v>0.038</v>
      </c>
      <c r="M7" s="8">
        <v>0.023</v>
      </c>
      <c r="N7" s="8">
        <v>0.038</v>
      </c>
      <c r="O7" s="8">
        <v>0.041</v>
      </c>
      <c r="P7" s="8">
        <v>0.044</v>
      </c>
      <c r="Q7" s="8">
        <v>0.023</v>
      </c>
      <c r="R7" s="8">
        <v>0.027</v>
      </c>
      <c r="S7" s="8">
        <v>0.025</v>
      </c>
      <c r="T7" s="9">
        <v>0.02</v>
      </c>
      <c r="U7" s="9">
        <v>0.009</v>
      </c>
      <c r="V7" s="9">
        <v>0.01</v>
      </c>
      <c r="W7" s="9">
        <v>0.015</v>
      </c>
      <c r="X7" s="9">
        <f>'By Year'!J379</f>
        <v>0.01360553633217993</v>
      </c>
      <c r="Y7" s="8">
        <f t="shared" si="0"/>
        <v>1.4776055363321794</v>
      </c>
      <c r="Z7" s="8">
        <f t="shared" si="1"/>
        <v>0.06716388801509907</v>
      </c>
    </row>
    <row r="8" spans="1:26" s="8" customFormat="1" ht="11.25">
      <c r="A8" s="8" t="s">
        <v>66</v>
      </c>
      <c r="C8" s="8">
        <v>0.07</v>
      </c>
      <c r="D8" s="8">
        <v>0.082</v>
      </c>
      <c r="E8" s="8">
        <v>0.03</v>
      </c>
      <c r="F8" s="8">
        <v>0.078</v>
      </c>
      <c r="G8" s="8">
        <v>0.038</v>
      </c>
      <c r="H8" s="8">
        <v>0.054</v>
      </c>
      <c r="I8" s="8">
        <v>0.032</v>
      </c>
      <c r="J8" s="8">
        <v>0.039</v>
      </c>
      <c r="K8" s="8">
        <v>0.023</v>
      </c>
      <c r="L8" s="8">
        <v>0.015</v>
      </c>
      <c r="M8" s="8">
        <v>0.008</v>
      </c>
      <c r="N8" s="8">
        <v>0.033</v>
      </c>
      <c r="O8" s="8">
        <v>0.042</v>
      </c>
      <c r="P8" s="8">
        <v>0.025</v>
      </c>
      <c r="Q8" s="8">
        <v>0.009</v>
      </c>
      <c r="R8" s="8">
        <v>0.006</v>
      </c>
      <c r="S8" s="8">
        <v>0.007</v>
      </c>
      <c r="T8" s="9">
        <v>0.004</v>
      </c>
      <c r="U8" s="9">
        <v>0.002</v>
      </c>
      <c r="V8" s="9">
        <v>0.003</v>
      </c>
      <c r="W8" s="9">
        <v>0.005</v>
      </c>
      <c r="X8" s="9">
        <f>'By Year'!J380</f>
        <v>0.006373702422145329</v>
      </c>
      <c r="Y8" s="8">
        <f t="shared" si="0"/>
        <v>0.6113737024221454</v>
      </c>
      <c r="Z8" s="8">
        <f t="shared" si="1"/>
        <v>0.027789713746461154</v>
      </c>
    </row>
    <row r="9" spans="1:26" s="8" customFormat="1" ht="11.25">
      <c r="A9" s="8" t="s">
        <v>53</v>
      </c>
      <c r="C9" s="8">
        <v>0.027</v>
      </c>
      <c r="D9" s="8">
        <v>0.018</v>
      </c>
      <c r="E9" s="8">
        <v>0.038</v>
      </c>
      <c r="F9" s="8">
        <v>0.026</v>
      </c>
      <c r="G9" s="8">
        <v>0.063</v>
      </c>
      <c r="H9" s="8">
        <v>0.035</v>
      </c>
      <c r="I9" s="8">
        <v>0.04</v>
      </c>
      <c r="J9" s="8">
        <v>0.037</v>
      </c>
      <c r="K9" s="8">
        <v>0.029</v>
      </c>
      <c r="L9" s="8">
        <v>0.029</v>
      </c>
      <c r="M9" s="8">
        <v>0.023</v>
      </c>
      <c r="N9" s="8">
        <v>0.043</v>
      </c>
      <c r="O9" s="8">
        <v>0.056</v>
      </c>
      <c r="P9" s="8">
        <v>0.024</v>
      </c>
      <c r="Q9" s="8">
        <v>0.02</v>
      </c>
      <c r="R9" s="8">
        <v>0.018</v>
      </c>
      <c r="S9" s="8">
        <v>0.031</v>
      </c>
      <c r="T9" s="9">
        <v>0.016</v>
      </c>
      <c r="U9" s="9">
        <v>0.02</v>
      </c>
      <c r="V9" s="9">
        <v>0.013</v>
      </c>
      <c r="W9" s="9">
        <v>0.009</v>
      </c>
      <c r="X9" s="9">
        <f>'By Year'!J382</f>
        <v>0.011564013840830448</v>
      </c>
      <c r="Y9" s="8">
        <f t="shared" si="0"/>
        <v>0.6265640138408306</v>
      </c>
      <c r="Z9" s="8">
        <f t="shared" si="1"/>
        <v>0.028480182447310484</v>
      </c>
    </row>
    <row r="10" spans="1:26" s="8" customFormat="1" ht="11.25">
      <c r="A10" s="8" t="s">
        <v>55</v>
      </c>
      <c r="C10" s="8">
        <v>0.049</v>
      </c>
      <c r="D10" s="8">
        <v>0.097</v>
      </c>
      <c r="E10" s="8">
        <v>0.099</v>
      </c>
      <c r="F10" s="8">
        <v>0.065</v>
      </c>
      <c r="G10" s="8">
        <v>0.093</v>
      </c>
      <c r="H10" s="8">
        <v>0.117</v>
      </c>
      <c r="I10" s="8">
        <v>0.105</v>
      </c>
      <c r="J10" s="8">
        <v>0.11</v>
      </c>
      <c r="K10" s="8">
        <v>0.167</v>
      </c>
      <c r="L10" s="8">
        <v>0.179</v>
      </c>
      <c r="M10" s="8">
        <v>0.183</v>
      </c>
      <c r="N10" s="8">
        <v>0.236</v>
      </c>
      <c r="O10" s="8">
        <v>0.211</v>
      </c>
      <c r="P10" s="8">
        <v>0.139</v>
      </c>
      <c r="Q10" s="8">
        <v>0.124</v>
      </c>
      <c r="R10" s="8">
        <v>0.188</v>
      </c>
      <c r="S10" s="8">
        <v>0.231</v>
      </c>
      <c r="T10" s="9">
        <v>0.214</v>
      </c>
      <c r="U10" s="9">
        <v>0.154</v>
      </c>
      <c r="V10" s="9">
        <v>0.207</v>
      </c>
      <c r="W10" s="9">
        <v>0.183</v>
      </c>
      <c r="X10" s="9">
        <f>'By Year'!J384</f>
        <v>0.19684429065743947</v>
      </c>
      <c r="Y10" s="8">
        <f t="shared" si="0"/>
        <v>3.3478442906574393</v>
      </c>
      <c r="Z10" s="8">
        <f t="shared" si="1"/>
        <v>0.15217474048442906</v>
      </c>
    </row>
    <row r="11" spans="1:26" s="8" customFormat="1" ht="11.25">
      <c r="A11" s="8" t="s">
        <v>54</v>
      </c>
      <c r="C11" s="8">
        <v>0.005</v>
      </c>
      <c r="D11" s="8">
        <v>0.01</v>
      </c>
      <c r="E11" s="8">
        <v>0.01</v>
      </c>
      <c r="F11" s="8">
        <v>0</v>
      </c>
      <c r="G11" s="8">
        <v>0.005</v>
      </c>
      <c r="H11" s="8">
        <v>0.008</v>
      </c>
      <c r="I11" s="8">
        <v>0.015</v>
      </c>
      <c r="J11" s="8">
        <v>0.001</v>
      </c>
      <c r="K11" s="8">
        <v>0.007</v>
      </c>
      <c r="L11" s="8">
        <v>0.006</v>
      </c>
      <c r="M11" s="8">
        <v>0.006</v>
      </c>
      <c r="N11" s="8">
        <v>0.014</v>
      </c>
      <c r="O11" s="8">
        <v>0.008</v>
      </c>
      <c r="P11" s="8">
        <v>0.005</v>
      </c>
      <c r="Q11" s="8">
        <v>0.017</v>
      </c>
      <c r="R11" s="8">
        <v>0.004</v>
      </c>
      <c r="S11" s="8">
        <v>0.008</v>
      </c>
      <c r="T11" s="9">
        <v>0.007</v>
      </c>
      <c r="U11" s="9">
        <v>0.005</v>
      </c>
      <c r="V11" s="9">
        <v>0.005</v>
      </c>
      <c r="W11" s="9">
        <v>0.004</v>
      </c>
      <c r="X11" s="9">
        <f>'By Year'!J385</f>
        <v>0.011640138408304497</v>
      </c>
      <c r="Y11" s="8">
        <f t="shared" si="0"/>
        <v>0.16164013840830452</v>
      </c>
      <c r="Z11" s="8">
        <f t="shared" si="1"/>
        <v>0.007347279018559296</v>
      </c>
    </row>
    <row r="12" spans="1:26" s="8" customFormat="1" ht="11.25">
      <c r="A12" s="8" t="s">
        <v>24</v>
      </c>
      <c r="C12" s="8">
        <v>0.531</v>
      </c>
      <c r="D12" s="8">
        <v>0.702</v>
      </c>
      <c r="E12" s="8">
        <v>0.78</v>
      </c>
      <c r="F12" s="8">
        <v>0.764</v>
      </c>
      <c r="G12" s="8">
        <v>0.672</v>
      </c>
      <c r="H12" s="8">
        <v>0.55</v>
      </c>
      <c r="I12" s="8">
        <v>0.546</v>
      </c>
      <c r="J12" s="8">
        <v>0.647</v>
      </c>
      <c r="K12" s="8">
        <v>0.588</v>
      </c>
      <c r="L12" s="8">
        <v>0.629</v>
      </c>
      <c r="M12" s="8">
        <v>0.573</v>
      </c>
      <c r="N12" s="8">
        <v>0.744</v>
      </c>
      <c r="O12" s="8">
        <v>0.799</v>
      </c>
      <c r="P12" s="8">
        <v>0.601</v>
      </c>
      <c r="Q12" s="8">
        <v>0.571</v>
      </c>
      <c r="R12" s="8">
        <v>0.628</v>
      </c>
      <c r="S12" s="8">
        <v>0.772</v>
      </c>
      <c r="T12" s="9">
        <v>0.727</v>
      </c>
      <c r="U12" s="9">
        <v>0.576</v>
      </c>
      <c r="V12" s="9">
        <v>0.655</v>
      </c>
      <c r="W12" s="9">
        <v>0.599</v>
      </c>
      <c r="X12" s="9">
        <f>'By Year'!J389</f>
        <v>0.016207612456747407</v>
      </c>
      <c r="Y12" s="8">
        <f t="shared" si="0"/>
        <v>13.67020761245675</v>
      </c>
      <c r="Z12" s="8">
        <f t="shared" si="1"/>
        <v>0.6213730732934887</v>
      </c>
    </row>
    <row r="14" ht="11.25">
      <c r="A14" s="15" t="s">
        <v>107</v>
      </c>
    </row>
    <row r="15" ht="11.25">
      <c r="F15" s="11" t="s">
        <v>49</v>
      </c>
    </row>
    <row r="16" spans="1:24" s="18" customFormat="1" ht="11.25">
      <c r="A16" s="18" t="s">
        <v>0</v>
      </c>
      <c r="C16" s="18">
        <v>1990</v>
      </c>
      <c r="D16" s="18">
        <v>1991</v>
      </c>
      <c r="E16" s="18">
        <v>1992</v>
      </c>
      <c r="F16" s="18">
        <v>1993</v>
      </c>
      <c r="G16" s="18">
        <v>1994</v>
      </c>
      <c r="H16" s="18">
        <v>1995</v>
      </c>
      <c r="I16" s="18">
        <v>1996</v>
      </c>
      <c r="J16" s="18">
        <v>1997</v>
      </c>
      <c r="K16" s="18">
        <v>1998</v>
      </c>
      <c r="L16" s="18">
        <v>1999</v>
      </c>
      <c r="M16" s="18">
        <v>2000</v>
      </c>
      <c r="N16" s="18">
        <v>2001</v>
      </c>
      <c r="O16" s="18">
        <v>2002</v>
      </c>
      <c r="P16" s="18">
        <v>2003</v>
      </c>
      <c r="Q16" s="18">
        <v>2004</v>
      </c>
      <c r="R16" s="18">
        <v>2005</v>
      </c>
      <c r="S16" s="18">
        <v>2006</v>
      </c>
      <c r="T16" s="19">
        <v>2007</v>
      </c>
      <c r="U16" s="19">
        <v>2008</v>
      </c>
      <c r="V16" s="19">
        <v>2009</v>
      </c>
      <c r="W16" s="19">
        <v>2010</v>
      </c>
      <c r="X16" s="19">
        <v>2011</v>
      </c>
    </row>
    <row r="17" spans="1:24" s="8" customFormat="1" ht="11.25">
      <c r="A17" s="8" t="s">
        <v>50</v>
      </c>
      <c r="C17" s="8">
        <v>0.041</v>
      </c>
      <c r="D17" s="8">
        <v>0.088</v>
      </c>
      <c r="E17" s="8">
        <v>0.073</v>
      </c>
      <c r="F17" s="8">
        <v>0.132</v>
      </c>
      <c r="G17" s="8">
        <v>0.113</v>
      </c>
      <c r="H17" s="8">
        <v>0.086</v>
      </c>
      <c r="I17" s="8">
        <v>0.059</v>
      </c>
      <c r="J17" s="8">
        <v>0.054</v>
      </c>
      <c r="K17" s="8">
        <v>0.045</v>
      </c>
      <c r="L17" s="8">
        <v>0.052</v>
      </c>
      <c r="M17" s="8">
        <v>0.042</v>
      </c>
      <c r="N17" s="8">
        <v>0.061</v>
      </c>
      <c r="O17" s="8">
        <v>0.079</v>
      </c>
      <c r="P17" s="8">
        <v>0.094</v>
      </c>
      <c r="Q17" s="8">
        <v>0.118</v>
      </c>
      <c r="R17" s="8">
        <v>0.076</v>
      </c>
      <c r="S17" s="8">
        <v>0.083</v>
      </c>
      <c r="T17" s="9">
        <v>0.057</v>
      </c>
      <c r="U17" s="9">
        <v>0.028</v>
      </c>
      <c r="V17" s="9">
        <v>0.036</v>
      </c>
      <c r="W17" s="9">
        <v>0.018</v>
      </c>
      <c r="X17" s="8">
        <f>'By Year'!H376</f>
        <v>0.04464550264550265</v>
      </c>
    </row>
    <row r="18" spans="1:24" s="8" customFormat="1" ht="11.25">
      <c r="A18" s="8" t="s">
        <v>51</v>
      </c>
      <c r="C18" s="8">
        <v>0.009</v>
      </c>
      <c r="D18" s="8">
        <v>0.021</v>
      </c>
      <c r="E18" s="8">
        <v>0.021</v>
      </c>
      <c r="F18" s="8">
        <v>0</v>
      </c>
      <c r="G18" s="8">
        <v>0.011</v>
      </c>
      <c r="H18" s="8">
        <v>0.012</v>
      </c>
      <c r="I18" s="8">
        <v>0.025</v>
      </c>
      <c r="J18" s="8">
        <v>0.026</v>
      </c>
      <c r="K18" s="8">
        <v>0.013</v>
      </c>
      <c r="L18" s="8">
        <v>0.044</v>
      </c>
      <c r="M18" s="8">
        <v>0.022</v>
      </c>
      <c r="N18" s="8">
        <v>0.033</v>
      </c>
      <c r="O18" s="8">
        <v>0.023</v>
      </c>
      <c r="P18" s="8">
        <v>0.014</v>
      </c>
      <c r="Q18" s="8">
        <v>0.032</v>
      </c>
      <c r="R18" s="8">
        <v>0.034</v>
      </c>
      <c r="S18" s="8">
        <v>0.059</v>
      </c>
      <c r="T18" s="9">
        <v>0.013</v>
      </c>
      <c r="U18" s="9">
        <v>0.019</v>
      </c>
      <c r="V18" s="9">
        <v>0.028</v>
      </c>
      <c r="W18" s="9">
        <v>0.012</v>
      </c>
      <c r="X18" s="8">
        <f>'By Year'!H377</f>
        <v>0.02308994708994709</v>
      </c>
    </row>
    <row r="19" spans="1:24" s="8" customFormat="1" ht="11.25">
      <c r="A19" s="8" t="s">
        <v>52</v>
      </c>
      <c r="C19" s="8">
        <v>0.114</v>
      </c>
      <c r="D19" s="8">
        <v>0.135</v>
      </c>
      <c r="E19" s="8">
        <v>0.238</v>
      </c>
      <c r="F19" s="8">
        <v>0.242</v>
      </c>
      <c r="G19" s="8">
        <v>0.177</v>
      </c>
      <c r="H19" s="8">
        <v>0.141</v>
      </c>
      <c r="I19" s="8">
        <v>0.211</v>
      </c>
      <c r="J19" s="8">
        <v>0.216</v>
      </c>
      <c r="K19" s="8">
        <v>0.188</v>
      </c>
      <c r="L19" s="8">
        <v>0.213</v>
      </c>
      <c r="M19" s="8">
        <v>0.226</v>
      </c>
      <c r="N19" s="8">
        <v>0.221</v>
      </c>
      <c r="O19" s="8">
        <v>0.251</v>
      </c>
      <c r="P19" s="8">
        <v>0.239</v>
      </c>
      <c r="Q19" s="8">
        <v>0.201</v>
      </c>
      <c r="R19" s="8">
        <v>0.24</v>
      </c>
      <c r="S19" s="8">
        <v>0.314</v>
      </c>
      <c r="T19" s="9">
        <v>0.348</v>
      </c>
      <c r="U19" s="9">
        <v>0.334</v>
      </c>
      <c r="V19" s="9">
        <v>0.295</v>
      </c>
      <c r="W19" s="9">
        <v>0.254</v>
      </c>
      <c r="X19" s="8">
        <f>'By Year'!H378</f>
        <v>0.30393650793650795</v>
      </c>
    </row>
    <row r="20" spans="1:24" s="8" customFormat="1" ht="11.25">
      <c r="A20" s="8" t="s">
        <v>57</v>
      </c>
      <c r="C20" s="8">
        <v>0.141</v>
      </c>
      <c r="D20" s="8">
        <v>0.13</v>
      </c>
      <c r="E20" s="8">
        <v>0.192</v>
      </c>
      <c r="F20" s="8">
        <v>0.168</v>
      </c>
      <c r="G20" s="8">
        <v>0.144</v>
      </c>
      <c r="H20" s="8">
        <v>0.068</v>
      </c>
      <c r="I20" s="8">
        <v>0.049</v>
      </c>
      <c r="J20" s="8">
        <v>0.053</v>
      </c>
      <c r="K20" s="8">
        <v>0.036</v>
      </c>
      <c r="L20" s="8">
        <v>0.028</v>
      </c>
      <c r="M20" s="8">
        <v>0.015</v>
      </c>
      <c r="N20" s="8">
        <v>0.045</v>
      </c>
      <c r="O20" s="8">
        <v>0.044</v>
      </c>
      <c r="P20" s="8">
        <v>0.057</v>
      </c>
      <c r="Q20" s="8">
        <v>0.034</v>
      </c>
      <c r="R20" s="8">
        <v>0.032</v>
      </c>
      <c r="S20" s="8">
        <v>0.031</v>
      </c>
      <c r="T20" s="9">
        <v>0.016</v>
      </c>
      <c r="U20" s="9">
        <v>0.01</v>
      </c>
      <c r="V20" s="9">
        <v>0.008</v>
      </c>
      <c r="W20" s="9">
        <v>0.015</v>
      </c>
      <c r="X20" s="8">
        <f>'By Year'!H379</f>
        <v>0.010222222222222221</v>
      </c>
    </row>
    <row r="21" spans="1:24" s="8" customFormat="1" ht="11.25">
      <c r="A21" s="8" t="s">
        <v>56</v>
      </c>
      <c r="C21" s="8">
        <v>0.082</v>
      </c>
      <c r="D21" s="8">
        <v>0.086</v>
      </c>
      <c r="E21" s="8">
        <v>0.034</v>
      </c>
      <c r="F21" s="8">
        <v>0.053</v>
      </c>
      <c r="G21" s="8">
        <v>0.053</v>
      </c>
      <c r="H21" s="8">
        <v>0.067</v>
      </c>
      <c r="I21" s="8">
        <v>0.043</v>
      </c>
      <c r="J21" s="8">
        <v>0.047</v>
      </c>
      <c r="K21" s="8">
        <v>0.025</v>
      </c>
      <c r="L21" s="8">
        <v>0.022</v>
      </c>
      <c r="M21" s="8">
        <v>0.009</v>
      </c>
      <c r="N21" s="8">
        <v>0.031</v>
      </c>
      <c r="O21" s="8">
        <v>0.034</v>
      </c>
      <c r="P21" s="8">
        <v>0.027</v>
      </c>
      <c r="Q21" s="8">
        <v>0.01</v>
      </c>
      <c r="R21" s="8">
        <v>0.004</v>
      </c>
      <c r="S21" s="10">
        <v>0.006</v>
      </c>
      <c r="T21" s="9">
        <v>0.002</v>
      </c>
      <c r="U21" s="9">
        <v>0.004</v>
      </c>
      <c r="V21" s="9">
        <v>0.004</v>
      </c>
      <c r="W21" s="9">
        <v>0.006</v>
      </c>
      <c r="X21" s="8">
        <f>'By Year'!H380</f>
        <v>0.007544973544973545</v>
      </c>
    </row>
    <row r="22" spans="1:24" s="8" customFormat="1" ht="11.25">
      <c r="A22" s="8" t="s">
        <v>53</v>
      </c>
      <c r="C22" s="8">
        <v>0.06</v>
      </c>
      <c r="D22" s="8">
        <v>0.017</v>
      </c>
      <c r="E22" s="8">
        <v>0.037</v>
      </c>
      <c r="F22" s="10">
        <v>0.025</v>
      </c>
      <c r="G22" s="8">
        <v>0.088</v>
      </c>
      <c r="H22" s="8">
        <v>0.047</v>
      </c>
      <c r="I22" s="8">
        <v>0.04</v>
      </c>
      <c r="J22" s="8">
        <v>0.049</v>
      </c>
      <c r="K22" s="8">
        <v>0.031</v>
      </c>
      <c r="L22" s="8">
        <v>0.04</v>
      </c>
      <c r="M22" s="8">
        <v>0.033</v>
      </c>
      <c r="N22" s="8">
        <v>0.057</v>
      </c>
      <c r="O22" s="8">
        <v>0.078</v>
      </c>
      <c r="P22" s="8">
        <v>0.036</v>
      </c>
      <c r="Q22" s="8">
        <v>0.026</v>
      </c>
      <c r="R22" s="8">
        <v>0.025</v>
      </c>
      <c r="S22" s="8">
        <v>0.044</v>
      </c>
      <c r="T22" s="9">
        <v>0.023</v>
      </c>
      <c r="U22" s="9">
        <v>0.028</v>
      </c>
      <c r="V22" s="9">
        <v>0.018</v>
      </c>
      <c r="W22" s="9">
        <v>0.011</v>
      </c>
      <c r="X22" s="8">
        <f>'By Year'!H382</f>
        <v>0.015037037037037035</v>
      </c>
    </row>
    <row r="23" spans="1:24" s="8" customFormat="1" ht="11.25">
      <c r="A23" s="8" t="s">
        <v>55</v>
      </c>
      <c r="C23" s="8">
        <v>0.053</v>
      </c>
      <c r="D23" s="8">
        <v>0.091</v>
      </c>
      <c r="E23" s="8">
        <v>0.102</v>
      </c>
      <c r="F23" s="8">
        <v>0.105</v>
      </c>
      <c r="G23" s="8">
        <v>0.076</v>
      </c>
      <c r="H23" s="8">
        <v>0.088</v>
      </c>
      <c r="I23" s="8">
        <v>0.078</v>
      </c>
      <c r="J23" s="8">
        <v>0.096</v>
      </c>
      <c r="K23" s="8">
        <v>0.124</v>
      </c>
      <c r="L23" s="8">
        <v>0.153</v>
      </c>
      <c r="M23" s="8">
        <v>0.123</v>
      </c>
      <c r="N23" s="8">
        <v>0.161</v>
      </c>
      <c r="O23" s="8">
        <v>0.155</v>
      </c>
      <c r="P23" s="8">
        <v>0.09</v>
      </c>
      <c r="Q23" s="8">
        <v>0.104</v>
      </c>
      <c r="R23" s="8">
        <v>0.129</v>
      </c>
      <c r="S23" s="8">
        <v>0.192</v>
      </c>
      <c r="T23" s="9">
        <v>0.188</v>
      </c>
      <c r="U23" s="9">
        <v>0.132</v>
      </c>
      <c r="V23" s="9">
        <v>0.183</v>
      </c>
      <c r="W23" s="9">
        <v>0.142</v>
      </c>
      <c r="X23" s="8">
        <f>'By Year'!H384</f>
        <v>0.14800000000000002</v>
      </c>
    </row>
    <row r="24" spans="1:24" s="8" customFormat="1" ht="11.25">
      <c r="A24" s="8" t="s">
        <v>54</v>
      </c>
      <c r="C24" s="8">
        <v>0.006</v>
      </c>
      <c r="D24" s="8">
        <v>0.01</v>
      </c>
      <c r="E24" s="8">
        <v>0.005</v>
      </c>
      <c r="F24" s="8">
        <v>0</v>
      </c>
      <c r="G24" s="8">
        <v>0.005</v>
      </c>
      <c r="H24" s="8">
        <v>0.008</v>
      </c>
      <c r="I24" s="8">
        <v>0.012</v>
      </c>
      <c r="J24" s="8">
        <v>0.001</v>
      </c>
      <c r="K24" s="8">
        <v>0.006</v>
      </c>
      <c r="L24" s="8">
        <v>0.004</v>
      </c>
      <c r="M24" s="8">
        <v>0.003</v>
      </c>
      <c r="N24" s="8">
        <v>0.008</v>
      </c>
      <c r="O24" s="8">
        <v>0.007</v>
      </c>
      <c r="P24" s="8">
        <v>0.006</v>
      </c>
      <c r="Q24" s="8">
        <v>0.019</v>
      </c>
      <c r="R24" s="8">
        <v>0.003</v>
      </c>
      <c r="S24" s="8">
        <v>0.005</v>
      </c>
      <c r="T24" s="9">
        <v>0.004</v>
      </c>
      <c r="U24" s="9">
        <v>0.003</v>
      </c>
      <c r="V24" s="9">
        <v>0.005</v>
      </c>
      <c r="W24" s="9">
        <v>0.001</v>
      </c>
      <c r="X24" s="8">
        <f>'By Year'!H385</f>
        <v>0.006338624338624339</v>
      </c>
    </row>
    <row r="25" spans="1:24" s="8" customFormat="1" ht="11.25">
      <c r="A25" s="8" t="s">
        <v>24</v>
      </c>
      <c r="C25" s="8">
        <v>0.519</v>
      </c>
      <c r="D25" s="8">
        <v>0.614</v>
      </c>
      <c r="E25" s="8">
        <v>0.74</v>
      </c>
      <c r="F25" s="8">
        <v>0.7</v>
      </c>
      <c r="G25" s="8">
        <v>0.703</v>
      </c>
      <c r="H25" s="8">
        <v>0.553</v>
      </c>
      <c r="I25" s="8">
        <v>0.625</v>
      </c>
      <c r="J25" s="8">
        <v>0.745</v>
      </c>
      <c r="K25" s="8">
        <v>0.494</v>
      </c>
      <c r="L25" s="8">
        <v>0.598</v>
      </c>
      <c r="M25" s="8">
        <v>0.505</v>
      </c>
      <c r="N25" s="8">
        <v>0.67</v>
      </c>
      <c r="O25" s="8">
        <v>0.74</v>
      </c>
      <c r="P25" s="8">
        <v>0.618</v>
      </c>
      <c r="Q25" s="8">
        <v>0.612</v>
      </c>
      <c r="R25" s="8">
        <v>0.585</v>
      </c>
      <c r="S25" s="8">
        <v>0.79</v>
      </c>
      <c r="T25" s="9">
        <v>0.692</v>
      </c>
      <c r="U25" s="9">
        <v>0.595</v>
      </c>
      <c r="V25" s="9">
        <v>0.631</v>
      </c>
      <c r="W25" s="9">
        <v>0.502</v>
      </c>
      <c r="X25" s="8">
        <f>'By Year'!H390</f>
        <v>0.6016296296296296</v>
      </c>
    </row>
    <row r="26" ht="11.25">
      <c r="X26" s="8"/>
    </row>
    <row r="27" ht="11.25">
      <c r="A27" s="15" t="s">
        <v>68</v>
      </c>
    </row>
    <row r="28" spans="1:24" s="18" customFormat="1" ht="11.25">
      <c r="A28" s="18" t="s">
        <v>58</v>
      </c>
      <c r="C28" s="18">
        <v>1990</v>
      </c>
      <c r="D28" s="18">
        <v>1991</v>
      </c>
      <c r="E28" s="18">
        <v>1992</v>
      </c>
      <c r="F28" s="18">
        <v>1993</v>
      </c>
      <c r="G28" s="18">
        <v>1994</v>
      </c>
      <c r="H28" s="18">
        <v>1995</v>
      </c>
      <c r="I28" s="18">
        <v>1996</v>
      </c>
      <c r="J28" s="18">
        <v>1997</v>
      </c>
      <c r="K28" s="18">
        <v>1998</v>
      </c>
      <c r="L28" s="18">
        <v>1999</v>
      </c>
      <c r="M28" s="18">
        <v>2000</v>
      </c>
      <c r="N28" s="18">
        <v>2001</v>
      </c>
      <c r="O28" s="18">
        <v>2002</v>
      </c>
      <c r="P28" s="18">
        <v>2003</v>
      </c>
      <c r="Q28" s="18">
        <v>2004</v>
      </c>
      <c r="R28" s="18">
        <v>2005</v>
      </c>
      <c r="S28" s="18">
        <v>2006</v>
      </c>
      <c r="T28" s="20">
        <v>2007</v>
      </c>
      <c r="U28" s="20" t="s">
        <v>125</v>
      </c>
      <c r="V28" s="20" t="s">
        <v>148</v>
      </c>
      <c r="W28" s="20" t="s">
        <v>153</v>
      </c>
      <c r="X28" s="20" t="s">
        <v>155</v>
      </c>
    </row>
    <row r="29" spans="1:24" s="8" customFormat="1" ht="11.25">
      <c r="A29" s="8" t="s">
        <v>59</v>
      </c>
      <c r="C29" s="8">
        <v>0.076</v>
      </c>
      <c r="D29" s="8">
        <f>4.7/43.5</f>
        <v>0.10804597701149425</v>
      </c>
      <c r="E29" s="8">
        <v>0.098</v>
      </c>
      <c r="F29" s="8" t="s">
        <v>14</v>
      </c>
      <c r="G29" s="8">
        <f>5.96/43.5</f>
        <v>0.13701149425287357</v>
      </c>
      <c r="H29" s="8">
        <v>0.135</v>
      </c>
      <c r="I29" s="8">
        <f>4/43.5</f>
        <v>0.09195402298850575</v>
      </c>
      <c r="J29" s="8">
        <v>0.079</v>
      </c>
      <c r="K29" s="8">
        <v>0.067</v>
      </c>
      <c r="L29" s="8">
        <f>3/43.5</f>
        <v>0.06896551724137931</v>
      </c>
      <c r="M29" s="8">
        <v>0.058</v>
      </c>
      <c r="N29" s="8">
        <v>0.079</v>
      </c>
      <c r="O29" s="8">
        <v>0.144</v>
      </c>
      <c r="P29" s="8">
        <v>0.142</v>
      </c>
      <c r="Q29" s="8">
        <v>0.184</v>
      </c>
      <c r="R29" s="8">
        <v>0.109</v>
      </c>
      <c r="S29" s="8">
        <f>5.47/43.5</f>
        <v>0.1257471264367816</v>
      </c>
      <c r="T29" s="9">
        <f>3.55/43.5</f>
        <v>0.08160919540229884</v>
      </c>
      <c r="U29" s="9">
        <f>1.431/43.5</f>
        <v>0.03289655172413793</v>
      </c>
      <c r="V29" s="9">
        <f>1.85/43.5</f>
        <v>0.04252873563218391</v>
      </c>
      <c r="W29" s="9">
        <f>0.794/43.5</f>
        <v>0.01825287356321839</v>
      </c>
      <c r="X29" s="9">
        <f>2.958/43.5</f>
        <v>0.068</v>
      </c>
    </row>
    <row r="30" spans="1:24" s="8" customFormat="1" ht="11.25">
      <c r="A30" s="8" t="s">
        <v>60</v>
      </c>
      <c r="C30" s="8">
        <v>0</v>
      </c>
      <c r="D30" s="8">
        <f>1.14/19</f>
        <v>0.06</v>
      </c>
      <c r="E30" s="8">
        <f>0.8/19</f>
        <v>0.042105263157894736</v>
      </c>
      <c r="F30" s="8">
        <f>2.6/19</f>
        <v>0.1368421052631579</v>
      </c>
      <c r="G30" s="8">
        <f>2.38/19</f>
        <v>0.12526315789473683</v>
      </c>
      <c r="H30" s="8">
        <f>1.438/19</f>
        <v>0.07568421052631578</v>
      </c>
      <c r="I30" s="8">
        <f>1/19</f>
        <v>0.05263157894736842</v>
      </c>
      <c r="J30" s="8">
        <f>1.286/19</f>
        <v>0.06768421052631579</v>
      </c>
      <c r="K30" s="8">
        <f>0.83/19</f>
        <v>0.04368421052631579</v>
      </c>
      <c r="L30" s="8">
        <f>1.091/19</f>
        <v>0.05742105263157895</v>
      </c>
      <c r="M30" s="8">
        <f>1/19</f>
        <v>0.05263157894736842</v>
      </c>
      <c r="N30" s="8">
        <f>1.455/19</f>
        <v>0.07657894736842105</v>
      </c>
      <c r="O30" s="8">
        <f>0.727/19</f>
        <v>0.03826315789473684</v>
      </c>
      <c r="P30" s="8">
        <f>2.25/19</f>
        <v>0.11842105263157894</v>
      </c>
      <c r="Q30" s="8">
        <f>2.75/19</f>
        <v>0.14473684210526316</v>
      </c>
      <c r="R30" s="8">
        <f>2.143/19</f>
        <v>0.11278947368421051</v>
      </c>
      <c r="S30" s="8">
        <f>1.77/19</f>
        <v>0.0931578947368421</v>
      </c>
      <c r="T30" s="8">
        <v>0.065</v>
      </c>
      <c r="U30" s="8">
        <f>0.588/19</f>
        <v>0.03094736842105263</v>
      </c>
      <c r="V30" s="8">
        <f>0.8/19</f>
        <v>0.042105263157894736</v>
      </c>
      <c r="W30" s="8">
        <f>0.579/19</f>
        <v>0.030473684210526313</v>
      </c>
      <c r="X30" s="8">
        <f>0.886/19</f>
        <v>0.04663157894736842</v>
      </c>
    </row>
    <row r="31" spans="1:24" s="8" customFormat="1" ht="11.25">
      <c r="A31" s="8" t="s">
        <v>61</v>
      </c>
      <c r="C31" s="8">
        <f>0.44/32</f>
        <v>0.01375</v>
      </c>
      <c r="D31" s="8">
        <f>2.5/32</f>
        <v>0.078125</v>
      </c>
      <c r="E31" s="8">
        <f>1.88/32</f>
        <v>0.05875</v>
      </c>
      <c r="F31" s="8" t="s">
        <v>14</v>
      </c>
      <c r="G31" s="8">
        <f>2.38/32</f>
        <v>0.074375</v>
      </c>
      <c r="H31" s="8">
        <f>0.8/32</f>
        <v>0.025</v>
      </c>
      <c r="I31" s="8">
        <f>0.6/32</f>
        <v>0.01875</v>
      </c>
      <c r="J31" s="8">
        <f>0.33/32</f>
        <v>0.0103125</v>
      </c>
      <c r="K31" s="8">
        <f>0.5/32</f>
        <v>0.015625</v>
      </c>
      <c r="L31" s="8">
        <f>0.818/32</f>
        <v>0.0255625</v>
      </c>
      <c r="M31" s="8">
        <f>0.444/32</f>
        <v>0.013875</v>
      </c>
      <c r="N31" s="8">
        <f>0.833/32</f>
        <v>0.02603125</v>
      </c>
      <c r="O31" s="8">
        <f>0.5/32</f>
        <v>0.015625</v>
      </c>
      <c r="P31" s="8">
        <f>0.5/32</f>
        <v>0.015625</v>
      </c>
      <c r="Q31" s="8">
        <f>0.467/32</f>
        <v>0.01459375</v>
      </c>
      <c r="R31" s="8">
        <f>0.308/32</f>
        <v>0.009625</v>
      </c>
      <c r="S31" s="8">
        <f>0.6/32</f>
        <v>0.01875</v>
      </c>
      <c r="T31" s="8">
        <v>0.02</v>
      </c>
      <c r="U31" s="8">
        <f>0.667/32</f>
        <v>0.02084375</v>
      </c>
      <c r="V31" s="8">
        <f>0.727/32</f>
        <v>0.02271875</v>
      </c>
      <c r="W31" s="8">
        <f>0.345/32</f>
        <v>0.01078125</v>
      </c>
      <c r="X31" s="8">
        <f>0.375/32</f>
        <v>0.01171875</v>
      </c>
    </row>
    <row r="32" spans="1:9" s="8" customFormat="1" ht="11.25">
      <c r="A32" s="8" t="s">
        <v>62</v>
      </c>
      <c r="C32" s="8">
        <f>0.11/19.5</f>
        <v>0.0056410256410256415</v>
      </c>
      <c r="D32" s="8">
        <f>2.13/19.5</f>
        <v>0.10923076923076923</v>
      </c>
      <c r="E32" s="8">
        <f>1/19.5</f>
        <v>0.05128205128205128</v>
      </c>
      <c r="F32" s="8">
        <f>4/19.5</f>
        <v>0.20512820512820512</v>
      </c>
      <c r="G32" s="8">
        <f>3.71/19.5</f>
        <v>0.19025641025641024</v>
      </c>
      <c r="H32" s="8">
        <f>1/19.5</f>
        <v>0.05128205128205128</v>
      </c>
      <c r="I32" s="8">
        <f>0.8/19.5</f>
        <v>0.041025641025641026</v>
      </c>
    </row>
    <row r="33" spans="1:24" s="8" customFormat="1" ht="11.25">
      <c r="A33" s="8" t="s">
        <v>63</v>
      </c>
      <c r="G33" s="8">
        <v>0</v>
      </c>
      <c r="H33" s="8">
        <f>2.333/30</f>
        <v>0.07776666666666668</v>
      </c>
      <c r="I33" s="8">
        <f>0.5/30</f>
        <v>0.016666666666666666</v>
      </c>
      <c r="J33" s="8">
        <v>0</v>
      </c>
      <c r="K33" s="8">
        <f>1.467/30</f>
        <v>0.048900000000000006</v>
      </c>
      <c r="L33" s="8">
        <f>1.083/30</f>
        <v>0.0361</v>
      </c>
      <c r="M33" s="8">
        <f>0.3/30</f>
        <v>0.01</v>
      </c>
      <c r="N33" s="8">
        <f>2.143/30</f>
        <v>0.07143333333333332</v>
      </c>
      <c r="O33" s="8">
        <f>0.4/30</f>
        <v>0.013333333333333334</v>
      </c>
      <c r="P33" s="8">
        <f>0.5/30</f>
        <v>0.016666666666666666</v>
      </c>
      <c r="Q33" s="8">
        <f>1/30</f>
        <v>0.03333333333333333</v>
      </c>
      <c r="R33" s="8">
        <f>0.222/30</f>
        <v>0.0074</v>
      </c>
      <c r="S33" s="8">
        <f>0.73/30</f>
        <v>0.024333333333333332</v>
      </c>
      <c r="T33" s="8">
        <v>0.031</v>
      </c>
      <c r="U33" s="8">
        <f>0.077/30</f>
        <v>0.0025666666666666667</v>
      </c>
      <c r="V33" s="8">
        <f>0.684/30</f>
        <v>0.0228</v>
      </c>
      <c r="W33" s="8">
        <f>0.333/30</f>
        <v>0.0111</v>
      </c>
      <c r="X33" s="8">
        <f>0.417/30</f>
        <v>0.0139</v>
      </c>
    </row>
    <row r="34" spans="1:24" s="8" customFormat="1" ht="11.25">
      <c r="A34" s="8" t="s">
        <v>64</v>
      </c>
      <c r="L34" s="8">
        <f>0.429/20</f>
        <v>0.02145</v>
      </c>
      <c r="M34" s="8">
        <f>0.733/20</f>
        <v>0.03665</v>
      </c>
      <c r="N34" s="8">
        <f>0.1/20</f>
        <v>0.005</v>
      </c>
      <c r="O34" s="8">
        <f>1/20</f>
        <v>0.05</v>
      </c>
      <c r="P34" s="8">
        <f>0.667/20</f>
        <v>0.033350000000000005</v>
      </c>
      <c r="Q34" s="8">
        <f>0.526/20</f>
        <v>0.0263</v>
      </c>
      <c r="R34" s="8">
        <f>0.727/20</f>
        <v>0.03635</v>
      </c>
      <c r="S34" s="8">
        <f>2/20</f>
        <v>0.1</v>
      </c>
      <c r="T34" s="8">
        <f>2/20</f>
        <v>0.1</v>
      </c>
      <c r="U34" s="8">
        <f>0.923/20</f>
        <v>0.046150000000000004</v>
      </c>
      <c r="V34" s="8">
        <f>1.083/20</f>
        <v>0.05415</v>
      </c>
      <c r="W34" s="8">
        <f>1.526/20</f>
        <v>0.0763</v>
      </c>
      <c r="X34" s="8">
        <f>1.25/20</f>
        <v>0.0625</v>
      </c>
    </row>
    <row r="35" spans="1:24" s="8" customFormat="1" ht="11.25">
      <c r="A35" s="8" t="s">
        <v>23</v>
      </c>
      <c r="C35" s="8">
        <v>0.041</v>
      </c>
      <c r="D35" s="8">
        <v>0.088</v>
      </c>
      <c r="E35" s="8">
        <v>0.073</v>
      </c>
      <c r="F35" s="8">
        <v>0.132</v>
      </c>
      <c r="G35" s="8">
        <v>0.113</v>
      </c>
      <c r="H35" s="8">
        <v>0.086</v>
      </c>
      <c r="I35" s="8">
        <v>0.059</v>
      </c>
      <c r="J35" s="8">
        <v>0.054</v>
      </c>
      <c r="K35" s="8">
        <v>0.045</v>
      </c>
      <c r="L35" s="8">
        <v>0.052</v>
      </c>
      <c r="M35" s="8">
        <v>0.042</v>
      </c>
      <c r="N35" s="8">
        <v>0.061</v>
      </c>
      <c r="O35" s="8">
        <v>0.079</v>
      </c>
      <c r="P35" s="8">
        <v>0.094</v>
      </c>
      <c r="Q35" s="8">
        <v>0.118</v>
      </c>
      <c r="R35" s="8">
        <v>0.076</v>
      </c>
      <c r="S35" s="8">
        <v>0.083</v>
      </c>
      <c r="T35" s="8">
        <v>0.057</v>
      </c>
      <c r="U35" s="8">
        <v>0.028</v>
      </c>
      <c r="V35" s="8">
        <v>0.035</v>
      </c>
      <c r="W35" s="8">
        <f>1.718/94.5</f>
        <v>0.018179894179894178</v>
      </c>
      <c r="X35" s="8">
        <f>4.219/94.5</f>
        <v>0.04464550264550265</v>
      </c>
    </row>
    <row r="36" spans="1:24" s="8" customFormat="1" ht="11.25">
      <c r="A36" s="8" t="s">
        <v>24</v>
      </c>
      <c r="C36" s="8">
        <v>0.035</v>
      </c>
      <c r="D36" s="8">
        <v>0.092</v>
      </c>
      <c r="E36" s="8">
        <v>0.07</v>
      </c>
      <c r="F36" s="8">
        <v>0.171</v>
      </c>
      <c r="G36" s="8">
        <v>0.1</v>
      </c>
      <c r="H36" s="8">
        <v>0.079</v>
      </c>
      <c r="I36" s="8">
        <v>0.048</v>
      </c>
      <c r="J36" s="8">
        <v>0.041</v>
      </c>
      <c r="K36" s="8">
        <v>0.046</v>
      </c>
      <c r="L36" s="8">
        <v>0.044</v>
      </c>
      <c r="M36" s="8">
        <v>0.034</v>
      </c>
      <c r="N36" s="8">
        <v>0.055</v>
      </c>
      <c r="O36" s="8">
        <v>0.061</v>
      </c>
      <c r="P36" s="8">
        <v>0.07</v>
      </c>
      <c r="Q36" s="8">
        <v>0.088</v>
      </c>
      <c r="R36" s="8">
        <v>0.056</v>
      </c>
      <c r="S36" s="8">
        <v>0.073</v>
      </c>
      <c r="T36" s="8">
        <v>0.058</v>
      </c>
      <c r="U36" s="8">
        <v>0.026</v>
      </c>
      <c r="V36" s="8">
        <v>0.035</v>
      </c>
      <c r="W36" s="8">
        <f>3.577/144.5</f>
        <v>0.02475432525951557</v>
      </c>
      <c r="X36" s="8">
        <v>0.041</v>
      </c>
    </row>
    <row r="38" ht="11.25">
      <c r="A38" s="15" t="s">
        <v>69</v>
      </c>
    </row>
    <row r="39" spans="1:24" s="18" customFormat="1" ht="11.25">
      <c r="A39" s="18" t="s">
        <v>58</v>
      </c>
      <c r="C39" s="18">
        <v>1990</v>
      </c>
      <c r="D39" s="18">
        <v>1991</v>
      </c>
      <c r="E39" s="18">
        <v>1992</v>
      </c>
      <c r="F39" s="18">
        <v>1993</v>
      </c>
      <c r="G39" s="18">
        <v>1994</v>
      </c>
      <c r="H39" s="18">
        <v>1995</v>
      </c>
      <c r="I39" s="18">
        <v>1996</v>
      </c>
      <c r="J39" s="18">
        <v>1997</v>
      </c>
      <c r="K39" s="18">
        <v>1998</v>
      </c>
      <c r="L39" s="18">
        <v>1999</v>
      </c>
      <c r="M39" s="18">
        <v>2000</v>
      </c>
      <c r="N39" s="18">
        <v>2001</v>
      </c>
      <c r="O39" s="18">
        <v>2002</v>
      </c>
      <c r="P39" s="18">
        <v>2003</v>
      </c>
      <c r="Q39" s="18">
        <v>2004</v>
      </c>
      <c r="R39" s="18">
        <v>2005</v>
      </c>
      <c r="S39" s="18">
        <v>2006</v>
      </c>
      <c r="T39" s="18">
        <v>2007</v>
      </c>
      <c r="U39" s="18">
        <v>2008</v>
      </c>
      <c r="V39" s="18">
        <v>2009</v>
      </c>
      <c r="W39" s="18">
        <v>2010</v>
      </c>
      <c r="X39" s="18">
        <v>2011</v>
      </c>
    </row>
    <row r="40" spans="1:24" s="8" customFormat="1" ht="11.25">
      <c r="A40" s="8" t="s">
        <v>59</v>
      </c>
      <c r="C40" s="8">
        <f>0.76/43.5</f>
        <v>0.017471264367816094</v>
      </c>
      <c r="D40" s="8">
        <f>2/43.5</f>
        <v>0.04597701149425287</v>
      </c>
      <c r="E40" s="8">
        <f>1.5/43.5</f>
        <v>0.034482758620689655</v>
      </c>
      <c r="F40" s="8" t="s">
        <v>14</v>
      </c>
      <c r="G40" s="8">
        <f>0.52/43.5</f>
        <v>0.011954022988505748</v>
      </c>
      <c r="H40" s="8">
        <f>0.591/43.5</f>
        <v>0.013586206896551723</v>
      </c>
      <c r="I40" s="8">
        <f>1.375/43.5</f>
        <v>0.031609195402298854</v>
      </c>
      <c r="J40" s="8">
        <f>1.222/43.5</f>
        <v>0.028091954022988506</v>
      </c>
      <c r="K40" s="8">
        <f>0.75/43.5</f>
        <v>0.017241379310344827</v>
      </c>
      <c r="L40" s="8">
        <f>2.6/43.5</f>
        <v>0.059770114942528735</v>
      </c>
      <c r="M40" s="8">
        <f>1.571/43.5</f>
        <v>0.03611494252873563</v>
      </c>
      <c r="N40" s="8">
        <f>2.08/43.5</f>
        <v>0.04781609195402299</v>
      </c>
      <c r="O40" s="8">
        <f>1.423/43.5</f>
        <v>0.03271264367816092</v>
      </c>
      <c r="P40" s="8">
        <f>1.283/43.5</f>
        <v>0.029494252873563217</v>
      </c>
      <c r="Q40" s="8">
        <f>2.78/43.5</f>
        <v>0.0639080459770115</v>
      </c>
      <c r="R40" s="8">
        <f>2.55/43.5</f>
        <v>0.05862068965517241</v>
      </c>
      <c r="S40" s="8">
        <v>0.068</v>
      </c>
      <c r="T40" s="9">
        <f>0.29/43.5</f>
        <v>0.006666666666666666</v>
      </c>
      <c r="U40" s="9">
        <f>0.789/43.5</f>
        <v>0.01813793103448276</v>
      </c>
      <c r="V40" s="9">
        <f>1.683/43.5</f>
        <v>0.038689655172413795</v>
      </c>
      <c r="W40" s="9">
        <f>0.704/43.5</f>
        <v>0.01618390804597701</v>
      </c>
      <c r="X40" s="9">
        <f>1.083/43.5</f>
        <v>0.02489655172413793</v>
      </c>
    </row>
    <row r="41" spans="1:24" s="8" customFormat="1" ht="11.25">
      <c r="A41" s="8" t="s">
        <v>60</v>
      </c>
      <c r="C41" s="8">
        <f>0</f>
        <v>0</v>
      </c>
      <c r="D41" s="8">
        <v>0</v>
      </c>
      <c r="E41" s="8">
        <f>0.5/19</f>
        <v>0.02631578947368421</v>
      </c>
      <c r="F41" s="8">
        <v>0</v>
      </c>
      <c r="G41" s="8">
        <f>0.25/19</f>
        <v>0.013157894736842105</v>
      </c>
      <c r="H41" s="8">
        <f>0.375/19</f>
        <v>0.019736842105263157</v>
      </c>
      <c r="I41" s="8">
        <f>1/19</f>
        <v>0.05263157894736842</v>
      </c>
      <c r="J41" s="8">
        <f>1.214/19</f>
        <v>0.06389473684210527</v>
      </c>
      <c r="K41" s="8">
        <f>0.167/19</f>
        <v>0.008789473684210528</v>
      </c>
      <c r="L41" s="8">
        <f>0.909/19</f>
        <v>0.047842105263157894</v>
      </c>
      <c r="M41" s="8">
        <f>0.33/19</f>
        <v>0.017368421052631578</v>
      </c>
      <c r="N41" s="8">
        <f>1/19</f>
        <v>0.05263157894736842</v>
      </c>
      <c r="O41" s="8">
        <f>0.455/19</f>
        <v>0.023947368421052634</v>
      </c>
      <c r="P41" s="8">
        <v>0</v>
      </c>
      <c r="Q41" s="8">
        <f>0.15/19</f>
        <v>0.007894736842105263</v>
      </c>
      <c r="R41" s="8">
        <f>0.571/19</f>
        <v>0.030052631578947366</v>
      </c>
      <c r="S41" s="8">
        <v>0.113</v>
      </c>
      <c r="T41" s="8">
        <f>0.529/19</f>
        <v>0.027842105263157897</v>
      </c>
      <c r="U41" s="8">
        <f>0.882/19</f>
        <v>0.046421052631578946</v>
      </c>
      <c r="V41" s="8">
        <f>0.52/19</f>
        <v>0.02736842105263158</v>
      </c>
      <c r="W41" s="8">
        <f>0.368/19</f>
        <v>0.01936842105263158</v>
      </c>
      <c r="X41" s="8">
        <f>0.286/19</f>
        <v>0.015052631578947368</v>
      </c>
    </row>
    <row r="42" spans="1:24" s="8" customFormat="1" ht="11.25">
      <c r="A42" s="8" t="s">
        <v>61</v>
      </c>
      <c r="C42" s="8">
        <f>0.06/43.5</f>
        <v>0.001379310344827586</v>
      </c>
      <c r="D42" s="8">
        <v>0</v>
      </c>
      <c r="E42" s="8">
        <v>0</v>
      </c>
      <c r="F42" s="8" t="s">
        <v>14</v>
      </c>
      <c r="G42" s="8">
        <f>0.25/32</f>
        <v>0.0078125</v>
      </c>
      <c r="H42" s="8">
        <f>2/32</f>
        <v>0.0625</v>
      </c>
      <c r="I42" s="8">
        <v>0</v>
      </c>
      <c r="J42" s="8">
        <v>0</v>
      </c>
      <c r="K42" s="8">
        <f>0.33/32</f>
        <v>0.0103125</v>
      </c>
      <c r="L42" s="8">
        <f>0.636/32</f>
        <v>0.019875</v>
      </c>
      <c r="M42" s="8">
        <f>0.222/32</f>
        <v>0.0069375</v>
      </c>
      <c r="N42" s="8">
        <v>0</v>
      </c>
      <c r="O42" s="8">
        <f>0.33/32</f>
        <v>0.0103125</v>
      </c>
      <c r="P42" s="8">
        <v>0</v>
      </c>
      <c r="Q42" s="8">
        <f>0.067/32</f>
        <v>0.00209375</v>
      </c>
      <c r="R42" s="8">
        <f>0.077/32</f>
        <v>0.00240625</v>
      </c>
      <c r="S42" s="8">
        <v>0.016</v>
      </c>
      <c r="T42" s="8">
        <f>0.455/32</f>
        <v>0.01421875</v>
      </c>
      <c r="U42" s="8">
        <f>0.083/32</f>
        <v>0.00259375</v>
      </c>
      <c r="V42" s="8">
        <f>0.455/32</f>
        <v>0.01421875</v>
      </c>
      <c r="W42" s="8">
        <f>0.034/32</f>
        <v>0.0010625</v>
      </c>
      <c r="X42" s="8">
        <f>0.813/32</f>
        <v>0.02540625</v>
      </c>
    </row>
    <row r="43" spans="1:9" s="8" customFormat="1" ht="11.25">
      <c r="A43" s="8" t="s">
        <v>62</v>
      </c>
      <c r="C43" s="8">
        <v>0</v>
      </c>
      <c r="D43" s="8">
        <f>0.38/19.5</f>
        <v>0.019487179487179488</v>
      </c>
      <c r="E43" s="8">
        <v>0</v>
      </c>
      <c r="F43" s="8">
        <v>0</v>
      </c>
      <c r="G43" s="8">
        <f>0.14/19.5</f>
        <v>0.00717948717948718</v>
      </c>
      <c r="H43" s="8">
        <v>0</v>
      </c>
      <c r="I43" s="8">
        <f>0.4/19.5</f>
        <v>0.020512820512820513</v>
      </c>
    </row>
    <row r="44" spans="1:24" s="8" customFormat="1" ht="11.25">
      <c r="A44" s="8" t="s">
        <v>63</v>
      </c>
      <c r="G44" s="8">
        <v>0.11</v>
      </c>
      <c r="H44" s="8">
        <v>0</v>
      </c>
      <c r="I44" s="8">
        <f>0.75/30</f>
        <v>0.025</v>
      </c>
      <c r="J44" s="8">
        <f>1.2/30</f>
        <v>0.04</v>
      </c>
      <c r="K44" s="8">
        <f>0.667/30</f>
        <v>0.022233333333333334</v>
      </c>
      <c r="L44" s="8">
        <f>0.917/30</f>
        <v>0.03056666666666667</v>
      </c>
      <c r="M44" s="8">
        <f>0.3/32</f>
        <v>0.009375</v>
      </c>
      <c r="N44" s="8">
        <f>0.857/30</f>
        <v>0.028566666666666667</v>
      </c>
      <c r="O44" s="8">
        <f>1.667/30</f>
        <v>0.05556666666666667</v>
      </c>
      <c r="P44" s="8">
        <f>0.357/32</f>
        <v>0.01115625</v>
      </c>
      <c r="Q44" s="8">
        <f>1.105/30</f>
        <v>0.036833333333333336</v>
      </c>
      <c r="R44" s="8">
        <f>1/30</f>
        <v>0.03333333333333333</v>
      </c>
      <c r="S44" s="8">
        <v>0.048</v>
      </c>
      <c r="T44" s="8">
        <f>0.417/30</f>
        <v>0.0139</v>
      </c>
      <c r="U44" s="8">
        <f>0.538/30</f>
        <v>0.017933333333333336</v>
      </c>
      <c r="V44" s="8">
        <f>0.947/30</f>
        <v>0.031566666666666666</v>
      </c>
      <c r="W44" s="8">
        <f>0.533/30</f>
        <v>0.017766666666666667</v>
      </c>
      <c r="X44" s="8">
        <f>0.667/30</f>
        <v>0.022233333333333334</v>
      </c>
    </row>
    <row r="45" spans="1:24" s="8" customFormat="1" ht="11.25">
      <c r="A45" s="8" t="s">
        <v>64</v>
      </c>
      <c r="L45" s="8">
        <f>0.714/20</f>
        <v>0.035699999999999996</v>
      </c>
      <c r="M45" s="8">
        <f>0.133/20</f>
        <v>0.0066500000000000005</v>
      </c>
      <c r="N45" s="8">
        <f>0.7/20</f>
        <v>0.034999999999999996</v>
      </c>
      <c r="O45" s="8">
        <f>1.125/20</f>
        <v>0.05625</v>
      </c>
      <c r="P45" s="8">
        <v>0</v>
      </c>
      <c r="Q45" s="8">
        <f>0.211/20</f>
        <v>0.01055</v>
      </c>
      <c r="R45" s="8">
        <f>0.545/20</f>
        <v>0.027250000000000003</v>
      </c>
      <c r="S45" s="8">
        <v>0.025</v>
      </c>
      <c r="T45" s="8">
        <f>0.571/20</f>
        <v>0.02855</v>
      </c>
      <c r="U45" s="8">
        <f>0.462/20</f>
        <v>0.023100000000000002</v>
      </c>
      <c r="V45" s="8">
        <f>0.083/20</f>
        <v>0.00415</v>
      </c>
      <c r="W45" s="8">
        <f>0.842/20</f>
        <v>0.0421</v>
      </c>
      <c r="X45" s="8">
        <f>1.125/20</f>
        <v>0.05625</v>
      </c>
    </row>
    <row r="46" spans="1:24" s="8" customFormat="1" ht="11.25">
      <c r="A46" s="8" t="s">
        <v>23</v>
      </c>
      <c r="C46" s="8">
        <v>0.009</v>
      </c>
      <c r="D46" s="8">
        <v>0.021</v>
      </c>
      <c r="E46" s="8">
        <v>0.021</v>
      </c>
      <c r="F46" s="8">
        <v>0</v>
      </c>
      <c r="G46" s="8">
        <v>0.011</v>
      </c>
      <c r="H46" s="8">
        <v>0.012</v>
      </c>
      <c r="I46" s="8">
        <v>0.025</v>
      </c>
      <c r="J46" s="8">
        <v>0.026</v>
      </c>
      <c r="K46" s="8">
        <v>0.013</v>
      </c>
      <c r="L46" s="8">
        <v>0.044</v>
      </c>
      <c r="M46" s="8">
        <v>0.022</v>
      </c>
      <c r="N46" s="8">
        <v>0.033</v>
      </c>
      <c r="O46" s="8">
        <v>0.023</v>
      </c>
      <c r="P46" s="8">
        <v>0.014</v>
      </c>
      <c r="Q46" s="8">
        <v>0.032</v>
      </c>
      <c r="R46" s="8">
        <v>0.034</v>
      </c>
      <c r="S46" s="8">
        <v>0.059</v>
      </c>
      <c r="T46" s="8">
        <v>0.013</v>
      </c>
      <c r="U46" s="8">
        <v>0.019</v>
      </c>
      <c r="V46" s="8">
        <v>0.028</v>
      </c>
      <c r="W46" s="8">
        <f>1.106/94.5</f>
        <v>0.011703703703703704</v>
      </c>
      <c r="X46" s="8">
        <f>2.182/94.5</f>
        <v>0.02308994708994709</v>
      </c>
    </row>
    <row r="47" spans="1:24" s="8" customFormat="1" ht="11.25">
      <c r="A47" s="8" t="s">
        <v>24</v>
      </c>
      <c r="C47" s="8">
        <v>0.007</v>
      </c>
      <c r="D47" s="8">
        <v>0.021</v>
      </c>
      <c r="E47" s="8">
        <v>0.018</v>
      </c>
      <c r="F47" s="8">
        <v>0</v>
      </c>
      <c r="G47" s="8">
        <v>0.009</v>
      </c>
      <c r="H47" s="8">
        <v>0.008</v>
      </c>
      <c r="I47" s="8">
        <v>0.024</v>
      </c>
      <c r="J47" s="8">
        <v>0.029</v>
      </c>
      <c r="K47" s="8">
        <v>0.015</v>
      </c>
      <c r="L47" s="8">
        <v>0.04</v>
      </c>
      <c r="M47" s="8">
        <v>0.018</v>
      </c>
      <c r="N47" s="8">
        <v>0.032</v>
      </c>
      <c r="O47" s="8">
        <v>0.034</v>
      </c>
      <c r="P47" s="8">
        <v>0.011</v>
      </c>
      <c r="Q47" s="8">
        <v>0.03</v>
      </c>
      <c r="R47" s="8">
        <v>0.033</v>
      </c>
      <c r="S47" s="8">
        <v>0.052</v>
      </c>
      <c r="T47" s="8">
        <v>0.016</v>
      </c>
      <c r="U47" s="8">
        <v>0.019</v>
      </c>
      <c r="V47" s="8">
        <v>0.025</v>
      </c>
      <c r="W47" s="8">
        <f>2.481/144.5</f>
        <v>0.01716955017301038</v>
      </c>
      <c r="X47" s="8">
        <v>0.028</v>
      </c>
    </row>
    <row r="48" s="8" customFormat="1" ht="11.25"/>
    <row r="49" ht="11.25">
      <c r="A49" s="15" t="s">
        <v>70</v>
      </c>
    </row>
    <row r="50" spans="1:24" s="21" customFormat="1" ht="11.25">
      <c r="A50" s="21" t="s">
        <v>58</v>
      </c>
      <c r="C50" s="21">
        <v>1990</v>
      </c>
      <c r="D50" s="21">
        <v>1991</v>
      </c>
      <c r="E50" s="21">
        <v>1992</v>
      </c>
      <c r="F50" s="21">
        <v>1993</v>
      </c>
      <c r="G50" s="21">
        <v>1994</v>
      </c>
      <c r="H50" s="21">
        <v>1995</v>
      </c>
      <c r="I50" s="21">
        <v>1996</v>
      </c>
      <c r="J50" s="21">
        <v>1997</v>
      </c>
      <c r="K50" s="21">
        <v>1998</v>
      </c>
      <c r="L50" s="21">
        <v>1999</v>
      </c>
      <c r="M50" s="21">
        <v>2000</v>
      </c>
      <c r="N50" s="21">
        <v>2001</v>
      </c>
      <c r="O50" s="21">
        <v>2002</v>
      </c>
      <c r="P50" s="21">
        <v>2003</v>
      </c>
      <c r="Q50" s="21">
        <v>2004</v>
      </c>
      <c r="R50" s="21">
        <v>2005</v>
      </c>
      <c r="S50" s="21">
        <v>2006</v>
      </c>
      <c r="T50" s="21">
        <v>2007</v>
      </c>
      <c r="U50" s="21">
        <v>2008</v>
      </c>
      <c r="V50" s="21">
        <v>2009</v>
      </c>
      <c r="W50" s="21">
        <v>2010</v>
      </c>
      <c r="X50" s="21">
        <v>2011</v>
      </c>
    </row>
    <row r="51" spans="1:24" s="8" customFormat="1" ht="11.25">
      <c r="A51" s="8" t="s">
        <v>59</v>
      </c>
      <c r="C51" s="8">
        <f>5.71/43.5</f>
        <v>0.13126436781609196</v>
      </c>
      <c r="D51" s="8">
        <f>7.1/43.5</f>
        <v>0.16321839080459769</v>
      </c>
      <c r="E51" s="8">
        <f>11.5/43.5</f>
        <v>0.26436781609195403</v>
      </c>
      <c r="F51" s="8" t="s">
        <v>14</v>
      </c>
      <c r="G51" s="8">
        <f>5.48/43.5</f>
        <v>0.1259770114942529</v>
      </c>
      <c r="H51" s="8">
        <f>5.636/43.5</f>
        <v>0.1295632183908046</v>
      </c>
      <c r="I51" s="8">
        <f>8.81/43.5</f>
        <v>0.20252873563218393</v>
      </c>
      <c r="J51" s="8">
        <f>10.56/43.5</f>
        <v>0.24275862068965517</v>
      </c>
      <c r="K51" s="8">
        <f>8.2/43.5</f>
        <v>0.18850574712643678</v>
      </c>
      <c r="L51" s="8">
        <f>10.1/43.5</f>
        <v>0.232183908045977</v>
      </c>
      <c r="M51" s="8">
        <f>11.71/43.5</f>
        <v>0.2691954022988506</v>
      </c>
      <c r="N51" s="8">
        <f>11.22/43.5</f>
        <v>0.2579310344827586</v>
      </c>
      <c r="O51" s="8">
        <f>12.71/43.5</f>
        <v>0.29218390804597705</v>
      </c>
      <c r="P51" s="8">
        <f>12.66/43.5</f>
        <v>0.2910344827586207</v>
      </c>
      <c r="Q51" s="8">
        <f>10.24/43.5</f>
        <v>0.2354022988505747</v>
      </c>
      <c r="R51" s="8">
        <f>11.67/43.4</f>
        <v>0.26889400921658985</v>
      </c>
      <c r="S51" s="8">
        <v>0.376</v>
      </c>
      <c r="T51" s="9">
        <f>19.75/43.5</f>
        <v>0.4540229885057471</v>
      </c>
      <c r="U51" s="9">
        <f>17.152/43.5</f>
        <v>0.39429885057471264</v>
      </c>
      <c r="V51" s="9">
        <f>14.183/43.5</f>
        <v>0.32604597701149424</v>
      </c>
      <c r="W51" s="9">
        <f>12.144/43.5</f>
        <v>0.2791724137931034</v>
      </c>
      <c r="X51" s="9">
        <f>15.377/43.5</f>
        <v>0.35349425287356323</v>
      </c>
    </row>
    <row r="52" spans="1:24" s="8" customFormat="1" ht="11.25">
      <c r="A52" s="8" t="s">
        <v>60</v>
      </c>
      <c r="C52" s="8">
        <f>2.8/19</f>
        <v>0.14736842105263157</v>
      </c>
      <c r="D52" s="8">
        <f>2.14/19</f>
        <v>0.11263157894736843</v>
      </c>
      <c r="E52" s="8">
        <f>5.75/19</f>
        <v>0.3026315789473684</v>
      </c>
      <c r="F52" s="8">
        <f>4.6/19</f>
        <v>0.2421052631578947</v>
      </c>
      <c r="G52" s="8">
        <f>3.75/19</f>
        <v>0.19736842105263158</v>
      </c>
      <c r="H52" s="8">
        <f>3.69/19</f>
        <v>0.19421052631578947</v>
      </c>
      <c r="I52" s="8">
        <f>8.13/19</f>
        <v>0.4278947368421053</v>
      </c>
      <c r="J52" s="8">
        <f>6.5/19</f>
        <v>0.34210526315789475</v>
      </c>
      <c r="K52" s="8">
        <f>5.5/19</f>
        <v>0.2894736842105263</v>
      </c>
      <c r="L52" s="8">
        <f>5/19</f>
        <v>0.2631578947368421</v>
      </c>
      <c r="M52" s="8">
        <f>5.89/19</f>
        <v>0.31</v>
      </c>
      <c r="N52" s="8">
        <f>5.82/19</f>
        <v>0.3063157894736842</v>
      </c>
      <c r="O52" s="8">
        <f>6.27/19</f>
        <v>0.32999999999999996</v>
      </c>
      <c r="P52" s="8">
        <f>6.83/19</f>
        <v>0.35947368421052633</v>
      </c>
      <c r="Q52" s="8">
        <f>4.95/19</f>
        <v>0.2605263157894737</v>
      </c>
      <c r="R52" s="8">
        <f>6.79/19</f>
        <v>0.35736842105263156</v>
      </c>
      <c r="S52" s="8">
        <v>0.482</v>
      </c>
      <c r="T52" s="8">
        <f>6.118/19</f>
        <v>0.322</v>
      </c>
      <c r="U52" s="8">
        <f>6.824/19</f>
        <v>0.3591578947368421</v>
      </c>
      <c r="V52" s="8">
        <f>4.84/19</f>
        <v>0.25473684210526315</v>
      </c>
      <c r="W52" s="8">
        <f>4.316/19</f>
        <v>0.2271578947368421</v>
      </c>
      <c r="X52" s="8">
        <f>4.657/19</f>
        <v>0.24510526315789474</v>
      </c>
    </row>
    <row r="53" spans="1:24" s="8" customFormat="1" ht="11.25">
      <c r="A53" s="8" t="s">
        <v>61</v>
      </c>
      <c r="C53" s="8">
        <f>2.31/32</f>
        <v>0.0721875</v>
      </c>
      <c r="D53" s="8">
        <f>3.5/32</f>
        <v>0.109375</v>
      </c>
      <c r="E53" s="8">
        <f>5.25/32</f>
        <v>0.1640625</v>
      </c>
      <c r="F53" s="8" t="s">
        <v>14</v>
      </c>
      <c r="G53" s="8">
        <f>7.5/32</f>
        <v>0.234375</v>
      </c>
      <c r="H53" s="8">
        <f>4/32</f>
        <v>0.125</v>
      </c>
      <c r="I53" s="8">
        <f>3/32</f>
        <v>0.09375</v>
      </c>
      <c r="J53" s="8">
        <f>3.33/32</f>
        <v>0.1040625</v>
      </c>
      <c r="K53" s="8">
        <f>4.08/32</f>
        <v>0.1275</v>
      </c>
      <c r="L53" s="8">
        <f>5/32</f>
        <v>0.15625</v>
      </c>
      <c r="M53" s="8">
        <f>3.7/32</f>
        <v>0.115625</v>
      </c>
      <c r="N53" s="8">
        <f>3.83/32</f>
        <v>0.1196875</v>
      </c>
      <c r="O53" s="8">
        <f>4.92/32</f>
        <v>0.15375</v>
      </c>
      <c r="P53" s="8">
        <f>3.08/32</f>
        <v>0.09625</v>
      </c>
      <c r="Q53" s="8">
        <f>3.87/32</f>
        <v>0.1209375</v>
      </c>
      <c r="R53" s="8">
        <f>4.23/32</f>
        <v>0.1321875</v>
      </c>
      <c r="S53" s="8">
        <v>0.131</v>
      </c>
      <c r="T53" s="8">
        <f>7/32</f>
        <v>0.21875</v>
      </c>
      <c r="U53" s="8">
        <f>7.583/32</f>
        <v>0.23696875</v>
      </c>
      <c r="V53" s="8">
        <f>8.864/32</f>
        <v>0.277</v>
      </c>
      <c r="W53" s="8">
        <f>7.586/32</f>
        <v>0.2370625</v>
      </c>
      <c r="X53" s="8">
        <f>8.688/32</f>
        <v>0.2715</v>
      </c>
    </row>
    <row r="54" spans="1:9" s="8" customFormat="1" ht="11.25">
      <c r="A54" s="8" t="s">
        <v>62</v>
      </c>
      <c r="C54" s="8">
        <f>2.22/19.5</f>
        <v>0.11384615384615386</v>
      </c>
      <c r="D54" s="8">
        <f>4.25/19.5</f>
        <v>0.21794871794871795</v>
      </c>
      <c r="E54" s="8">
        <f>5.4/19.5</f>
        <v>0.27692307692307694</v>
      </c>
      <c r="F54" s="8">
        <f>2/19.5</f>
        <v>0.10256410256410256</v>
      </c>
      <c r="G54" s="8">
        <f>4/19.5</f>
        <v>0.20512820512820512</v>
      </c>
      <c r="H54" s="8">
        <f>1.75/19.5</f>
        <v>0.08974358974358974</v>
      </c>
      <c r="I54" s="8">
        <f>3.4/19.5</f>
        <v>0.17435897435897435</v>
      </c>
    </row>
    <row r="55" spans="1:24" s="8" customFormat="1" ht="11.25">
      <c r="A55" s="8" t="s">
        <v>63</v>
      </c>
      <c r="G55" s="8">
        <f>2.56/30</f>
        <v>0.08533333333333333</v>
      </c>
      <c r="H55" s="8">
        <f>4.67/30</f>
        <v>0.15566666666666668</v>
      </c>
      <c r="I55" s="8">
        <f>5.75/30</f>
        <v>0.19166666666666668</v>
      </c>
      <c r="J55" s="8">
        <f>3.2/30</f>
        <v>0.10666666666666667</v>
      </c>
      <c r="K55" s="8">
        <f>10.47/30</f>
        <v>0.34900000000000003</v>
      </c>
      <c r="L55" s="8">
        <f>9.17/30</f>
        <v>0.30566666666666664</v>
      </c>
      <c r="M55" s="8">
        <f>9.7/30</f>
        <v>0.3233333333333333</v>
      </c>
      <c r="N55" s="8">
        <f>9.86/30</f>
        <v>0.32866666666666666</v>
      </c>
      <c r="O55" s="8">
        <f>8.8/30</f>
        <v>0.29333333333333333</v>
      </c>
      <c r="P55" s="8">
        <f>7.14/30</f>
        <v>0.238</v>
      </c>
      <c r="Q55" s="8">
        <f>7.79/30</f>
        <v>0.25966666666666666</v>
      </c>
      <c r="R55" s="8">
        <f>9.22/30</f>
        <v>0.30733333333333335</v>
      </c>
      <c r="S55" s="8">
        <v>0.273</v>
      </c>
      <c r="T55" s="8">
        <f>8.417/30</f>
        <v>0.2805666666666667</v>
      </c>
      <c r="U55" s="8">
        <f>5.692/30</f>
        <v>0.18973333333333334</v>
      </c>
      <c r="V55" s="8">
        <f>10.053/30</f>
        <v>0.3351</v>
      </c>
      <c r="W55" s="8">
        <f>11.667/30</f>
        <v>0.38889999999999997</v>
      </c>
      <c r="X55" s="8">
        <f>15.667/30</f>
        <v>0.5222333333333333</v>
      </c>
    </row>
    <row r="56" spans="1:24" s="8" customFormat="1" ht="11.25">
      <c r="A56" s="8" t="s">
        <v>64</v>
      </c>
      <c r="L56" s="8">
        <f>5.29/20</f>
        <v>0.2645</v>
      </c>
      <c r="M56" s="8">
        <f>3.93/20</f>
        <v>0.1965</v>
      </c>
      <c r="N56" s="8">
        <f>5.3/20</f>
        <v>0.265</v>
      </c>
      <c r="O56" s="8">
        <f>8.5/20</f>
        <v>0.425</v>
      </c>
      <c r="P56" s="8">
        <f>4.33/20</f>
        <v>0.2165</v>
      </c>
      <c r="Q56" s="8">
        <f>3.95/20</f>
        <v>0.1975</v>
      </c>
      <c r="R56" s="8">
        <f>5.09/20</f>
        <v>0.2545</v>
      </c>
      <c r="S56" s="8">
        <v>0.29</v>
      </c>
      <c r="T56" s="8">
        <f>9.571/20</f>
        <v>0.47855</v>
      </c>
      <c r="U56" s="8">
        <f>6.462/20</f>
        <v>0.3231</v>
      </c>
      <c r="V56" s="8">
        <f>6.167/20</f>
        <v>0.30835</v>
      </c>
      <c r="W56" s="8">
        <f>7.947/20</f>
        <v>0.39735</v>
      </c>
      <c r="X56" s="8">
        <f>12.25/20</f>
        <v>0.6125</v>
      </c>
    </row>
    <row r="57" spans="1:24" s="8" customFormat="1" ht="11.25">
      <c r="A57" s="8" t="s">
        <v>23</v>
      </c>
      <c r="C57" s="8">
        <f>10.82/94.5</f>
        <v>0.1144973544973545</v>
      </c>
      <c r="D57" s="8">
        <f>12.74/94.5</f>
        <v>0.1348148148148148</v>
      </c>
      <c r="E57" s="8">
        <f>22.5/94.5</f>
        <v>0.23809523809523808</v>
      </c>
      <c r="F57" s="8">
        <v>0.2421</v>
      </c>
      <c r="G57" s="8">
        <f>16.73/94.5</f>
        <v>0.17703703703703705</v>
      </c>
      <c r="H57" s="8">
        <f>13.324/94.5</f>
        <v>0.140994708994709</v>
      </c>
      <c r="I57" s="8">
        <f>19.94/94.5</f>
        <v>0.21100529100529103</v>
      </c>
      <c r="J57" s="8">
        <f>20.39/94.5</f>
        <v>0.21576719576719577</v>
      </c>
      <c r="K57" s="8">
        <f>17.78/94.5</f>
        <v>0.18814814814814815</v>
      </c>
      <c r="L57" s="8">
        <f>20.1/94.5</f>
        <v>0.21269841269841272</v>
      </c>
      <c r="M57" s="8">
        <f>21.38/94.5</f>
        <v>0.22624338624338625</v>
      </c>
      <c r="N57" s="8">
        <f>20.87/94.5</f>
        <v>0.22084656084656085</v>
      </c>
      <c r="O57" s="8">
        <f>23.9/94.5</f>
        <v>0.2529100529100529</v>
      </c>
      <c r="P57" s="8">
        <f>22.58/94.5</f>
        <v>0.23894179894179893</v>
      </c>
      <c r="Q57" s="8">
        <f>19.06/94.5</f>
        <v>0.20169312169312167</v>
      </c>
      <c r="R57" s="8">
        <f>22.68/94.5</f>
        <v>0.24</v>
      </c>
      <c r="S57" s="8">
        <v>0.314</v>
      </c>
      <c r="T57" s="8">
        <v>0.348</v>
      </c>
      <c r="U57" s="8">
        <v>0.334</v>
      </c>
      <c r="V57" s="8">
        <v>0.291</v>
      </c>
      <c r="W57" s="8">
        <f>24.046/94.5</f>
        <v>0.25445502645502643</v>
      </c>
      <c r="X57" s="8">
        <v>0.304</v>
      </c>
    </row>
    <row r="58" spans="1:24" s="8" customFormat="1" ht="11.25">
      <c r="A58" s="8" t="s">
        <v>24</v>
      </c>
      <c r="C58" s="8">
        <f>13.04/114</f>
        <v>0.11438596491228069</v>
      </c>
      <c r="D58" s="8">
        <f>16.99/114</f>
        <v>0.14903508771929824</v>
      </c>
      <c r="E58" s="8">
        <f>27.9/114</f>
        <v>0.24473684210526314</v>
      </c>
      <c r="F58" s="8">
        <f>5.6/38.5</f>
        <v>0.14545454545454545</v>
      </c>
      <c r="G58" s="8">
        <f>23.29/144</f>
        <v>0.1617361111111111</v>
      </c>
      <c r="H58" s="8">
        <f>19.74/144</f>
        <v>0.13708333333333333</v>
      </c>
      <c r="I58" s="8">
        <f>29.1/144</f>
        <v>0.20208333333333334</v>
      </c>
      <c r="J58" s="8">
        <f>23.586/124.5</f>
        <v>0.1894457831325301</v>
      </c>
      <c r="K58" s="8">
        <f>28.25/124.5</f>
        <v>0.22690763052208834</v>
      </c>
      <c r="L58" s="8">
        <f>34.6/144.5</f>
        <v>0.23944636678200693</v>
      </c>
      <c r="M58" s="8">
        <f>35.01/144.5</f>
        <v>0.24228373702422143</v>
      </c>
      <c r="N58" s="8">
        <f>36.03/144.5</f>
        <v>0.2493425605536332</v>
      </c>
      <c r="O58" s="8">
        <f>41.2/144.5</f>
        <v>0.285121107266436</v>
      </c>
      <c r="P58" s="8">
        <f>34.06/144.5</f>
        <v>0.23570934256055365</v>
      </c>
      <c r="Q58" s="8">
        <f>30.8/144.5</f>
        <v>0.21314878892733566</v>
      </c>
      <c r="R58" s="8">
        <f>36.996/144.5</f>
        <v>0.2560276816608997</v>
      </c>
      <c r="S58" s="8">
        <v>0.302</v>
      </c>
      <c r="T58" s="8">
        <v>0.352</v>
      </c>
      <c r="U58" s="8">
        <v>0.303</v>
      </c>
      <c r="V58" s="8">
        <v>0.303</v>
      </c>
      <c r="W58" s="8">
        <f>43.66/144.5</f>
        <v>0.30214532871972316</v>
      </c>
      <c r="X58" s="8">
        <v>0.392</v>
      </c>
    </row>
    <row r="60" ht="11.25">
      <c r="A60" s="15" t="s">
        <v>71</v>
      </c>
    </row>
    <row r="61" spans="1:24" s="18" customFormat="1" ht="11.25">
      <c r="A61" s="18" t="s">
        <v>58</v>
      </c>
      <c r="C61" s="18">
        <v>1990</v>
      </c>
      <c r="D61" s="18">
        <v>1991</v>
      </c>
      <c r="E61" s="18">
        <v>1992</v>
      </c>
      <c r="F61" s="18">
        <v>1993</v>
      </c>
      <c r="G61" s="18">
        <v>1994</v>
      </c>
      <c r="H61" s="18">
        <v>1995</v>
      </c>
      <c r="I61" s="18">
        <v>1996</v>
      </c>
      <c r="J61" s="18">
        <v>1997</v>
      </c>
      <c r="K61" s="18">
        <v>1998</v>
      </c>
      <c r="L61" s="18">
        <v>1999</v>
      </c>
      <c r="M61" s="18">
        <v>2000</v>
      </c>
      <c r="N61" s="18">
        <v>2001</v>
      </c>
      <c r="O61" s="18">
        <v>2002</v>
      </c>
      <c r="P61" s="18">
        <v>2003</v>
      </c>
      <c r="Q61" s="18">
        <v>2004</v>
      </c>
      <c r="R61" s="18">
        <v>2005</v>
      </c>
      <c r="S61" s="18">
        <v>2006</v>
      </c>
      <c r="T61" s="18">
        <v>2007</v>
      </c>
      <c r="U61" s="18">
        <v>2008</v>
      </c>
      <c r="V61" s="18">
        <v>2009</v>
      </c>
      <c r="W61" s="18">
        <v>2010</v>
      </c>
      <c r="X61" s="18">
        <v>2011</v>
      </c>
    </row>
    <row r="62" spans="1:24" s="8" customFormat="1" ht="11.25">
      <c r="A62" s="8" t="s">
        <v>59</v>
      </c>
      <c r="C62" s="8">
        <f>5.18/43.5</f>
        <v>0.11908045977011493</v>
      </c>
      <c r="D62" s="8">
        <f>6.8/43.5</f>
        <v>0.15632183908045977</v>
      </c>
      <c r="E62" s="8">
        <f>9.5/43.5</f>
        <v>0.21839080459770116</v>
      </c>
      <c r="F62" s="8" t="s">
        <v>14</v>
      </c>
      <c r="G62" s="8">
        <f>4.7/43.5</f>
        <v>0.10804597701149425</v>
      </c>
      <c r="H62" s="8">
        <f>3.82/43.5</f>
        <v>0.08781609195402298</v>
      </c>
      <c r="I62" s="8">
        <f>3.25/43.5</f>
        <v>0.07471264367816093</v>
      </c>
      <c r="J62" s="8">
        <f>3.11/43.5</f>
        <v>0.07149425287356322</v>
      </c>
      <c r="K62" s="8">
        <f>1.95/43.5</f>
        <v>0.04482758620689655</v>
      </c>
      <c r="L62" s="8">
        <f>1.3/43.5</f>
        <v>0.029885057471264367</v>
      </c>
      <c r="M62" s="8">
        <f>1/43.5</f>
        <v>0.022988505747126436</v>
      </c>
      <c r="N62" s="8">
        <f>3.05/43.5</f>
        <v>0.07011494252873562</v>
      </c>
      <c r="O62" s="8">
        <f>2.83/43.5</f>
        <v>0.06505747126436781</v>
      </c>
      <c r="P62" s="8">
        <f>2.81/43.5</f>
        <v>0.06459770114942529</v>
      </c>
      <c r="Q62" s="8">
        <f>1.99/43.5</f>
        <v>0.04574712643678161</v>
      </c>
      <c r="R62" s="8">
        <f>2.42/43.5</f>
        <v>0.05563218390804597</v>
      </c>
      <c r="S62" s="8">
        <v>0.033</v>
      </c>
      <c r="T62" s="9">
        <f>0.75/43.5</f>
        <v>0.017241379310344827</v>
      </c>
      <c r="U62" s="9">
        <f>0.241/43/5</f>
        <v>0.0011209302325581394</v>
      </c>
      <c r="V62" s="9">
        <f>0.15/43.5</f>
        <v>0.0034482758620689655</v>
      </c>
      <c r="W62" s="9">
        <f>1.09/43.5</f>
        <v>0.025057471264367817</v>
      </c>
      <c r="X62" s="9">
        <f>0.732/43.5</f>
        <v>0.01682758620689655</v>
      </c>
    </row>
    <row r="63" spans="1:24" s="8" customFormat="1" ht="11.25">
      <c r="A63" s="8" t="s">
        <v>60</v>
      </c>
      <c r="C63" s="8">
        <f>1/19</f>
        <v>0.05263157894736842</v>
      </c>
      <c r="D63" s="8">
        <f>1/19</f>
        <v>0.05263157894736842</v>
      </c>
      <c r="E63" s="8">
        <f>2/19</f>
        <v>0.10526315789473684</v>
      </c>
      <c r="F63" s="8">
        <f>3.2/19</f>
        <v>0.16842105263157894</v>
      </c>
      <c r="G63" s="8">
        <f>2.31/19</f>
        <v>0.12157894736842105</v>
      </c>
      <c r="H63" s="8">
        <f>1.88/19</f>
        <v>0.09894736842105263</v>
      </c>
      <c r="I63" s="8">
        <f>1.38/19</f>
        <v>0.07263157894736842</v>
      </c>
      <c r="J63" s="8">
        <f>1.93/19</f>
        <v>0.10157894736842105</v>
      </c>
      <c r="K63" s="8">
        <f>1/19</f>
        <v>0.05263157894736842</v>
      </c>
      <c r="L63" s="8">
        <f>0.82/19</f>
        <v>0.0431578947368421</v>
      </c>
      <c r="M63" s="8">
        <f>0.33/19</f>
        <v>0.017368421052631578</v>
      </c>
      <c r="N63" s="8">
        <f>0.55/19</f>
        <v>0.028947368421052635</v>
      </c>
      <c r="O63" s="8">
        <f>0.46/19</f>
        <v>0.024210526315789474</v>
      </c>
      <c r="P63" s="8">
        <f>2.25/19</f>
        <v>0.11842105263157894</v>
      </c>
      <c r="Q63" s="8">
        <f>0.85/19</f>
        <v>0.04473684210526316</v>
      </c>
      <c r="R63" s="8">
        <f>0.57/19</f>
        <v>0.03</v>
      </c>
      <c r="S63" s="8">
        <v>0.069</v>
      </c>
      <c r="T63" s="8">
        <f>0.235/19</f>
        <v>0.012368421052631579</v>
      </c>
      <c r="U63" s="8">
        <f>0.118/19</f>
        <v>0.006210526315789474</v>
      </c>
      <c r="V63" s="8">
        <v>0</v>
      </c>
      <c r="W63" s="8">
        <f>0.158/19</f>
        <v>0.00831578947368421</v>
      </c>
      <c r="X63" s="8">
        <f>0.171/19</f>
        <v>0.009000000000000001</v>
      </c>
    </row>
    <row r="64" spans="1:24" s="8" customFormat="1" ht="11.25">
      <c r="A64" s="8" t="s">
        <v>61</v>
      </c>
      <c r="C64" s="8">
        <f>7.18/32</f>
        <v>0.224375</v>
      </c>
      <c r="D64" s="8">
        <f>4.5/32</f>
        <v>0.140625</v>
      </c>
      <c r="E64" s="8">
        <f>6.63/32</f>
        <v>0.2071875</v>
      </c>
      <c r="F64" s="8" t="s">
        <v>14</v>
      </c>
      <c r="G64" s="8">
        <f>6.63/32</f>
        <v>0.2071875</v>
      </c>
      <c r="H64" s="8">
        <f>0.7/32</f>
        <v>0.021875</v>
      </c>
      <c r="I64" s="8">
        <v>0</v>
      </c>
      <c r="J64" s="8">
        <v>0</v>
      </c>
      <c r="K64" s="8">
        <f>0.417/32</f>
        <v>0.01303125</v>
      </c>
      <c r="L64" s="8">
        <f>0.545/32</f>
        <v>0.01703125</v>
      </c>
      <c r="M64" s="8">
        <f>0.11/32</f>
        <v>0.0034375</v>
      </c>
      <c r="N64" s="8">
        <f>0.67/32</f>
        <v>0.0209375</v>
      </c>
      <c r="O64" s="8">
        <f>0.92/32</f>
        <v>0.02875</v>
      </c>
      <c r="P64" s="8">
        <f>0.33/32</f>
        <v>0.0103125</v>
      </c>
      <c r="Q64" s="8">
        <f>0.33/32</f>
        <v>0.0103125</v>
      </c>
      <c r="R64" s="8">
        <f>0.08/32</f>
        <v>0.0025</v>
      </c>
      <c r="S64" s="8">
        <v>0.006</v>
      </c>
      <c r="T64" s="8">
        <f>0.546/32</f>
        <v>0.0170625</v>
      </c>
      <c r="U64" s="8">
        <f>0.583/32</f>
        <v>0.01821875</v>
      </c>
      <c r="V64" s="8">
        <f>0.636/32</f>
        <v>0.019875</v>
      </c>
      <c r="W64" s="8">
        <f>0.138/32</f>
        <v>0.0043125</v>
      </c>
      <c r="X64" s="8">
        <f>0.063/32</f>
        <v>0.00196875</v>
      </c>
    </row>
    <row r="65" spans="1:9" s="8" customFormat="1" ht="11.25">
      <c r="A65" s="8" t="s">
        <v>62</v>
      </c>
      <c r="C65" s="8">
        <f>6.11/19.5</f>
        <v>0.31333333333333335</v>
      </c>
      <c r="D65" s="8">
        <f>9.75/19.5</f>
        <v>0.5</v>
      </c>
      <c r="E65" s="8">
        <f>8/19.5</f>
        <v>0.41025641025641024</v>
      </c>
      <c r="F65" s="8">
        <f>4.5/19.5</f>
        <v>0.23076923076923078</v>
      </c>
      <c r="G65" s="8">
        <f>8.57/19.5</f>
        <v>0.4394871794871795</v>
      </c>
      <c r="H65" s="8">
        <f>1.88/19.5</f>
        <v>0.0964102564102564</v>
      </c>
      <c r="I65" s="8">
        <f>1.2/19.5</f>
        <v>0.061538461538461535</v>
      </c>
    </row>
    <row r="66" spans="1:24" s="8" customFormat="1" ht="11.25">
      <c r="A66" s="8" t="s">
        <v>63</v>
      </c>
      <c r="G66" s="8">
        <f>1/30</f>
        <v>0.03333333333333333</v>
      </c>
      <c r="H66" s="8">
        <f>2/30</f>
        <v>0.06666666666666667</v>
      </c>
      <c r="I66" s="8">
        <f>0.75/30</f>
        <v>0.025</v>
      </c>
      <c r="J66" s="8">
        <v>0</v>
      </c>
      <c r="K66" s="8">
        <f>1.6/30</f>
        <v>0.05333333333333334</v>
      </c>
      <c r="L66" s="8">
        <f>1.25/30</f>
        <v>0.041666666666666664</v>
      </c>
      <c r="M66" s="8">
        <f>0.9/30</f>
        <v>0.030000000000000002</v>
      </c>
      <c r="N66" s="8">
        <f>0.57/30</f>
        <v>0.019</v>
      </c>
      <c r="O66" s="8">
        <f>0.53/30</f>
        <v>0.017666666666666667</v>
      </c>
      <c r="P66" s="8">
        <f>0.286/30</f>
        <v>0.009533333333333333</v>
      </c>
      <c r="Q66" s="8">
        <f>0.11/30</f>
        <v>0.0036666666666666666</v>
      </c>
      <c r="R66" s="8">
        <f>0.44/30</f>
        <v>0.014666666666666666</v>
      </c>
      <c r="S66" s="8">
        <v>0.015</v>
      </c>
      <c r="T66" s="8">
        <f>0.167/30</f>
        <v>0.005566666666666667</v>
      </c>
      <c r="U66" s="8">
        <f>0.077/30</f>
        <v>0.0025666666666666667</v>
      </c>
      <c r="V66" s="8">
        <f>0.105/30</f>
        <v>0.0035</v>
      </c>
      <c r="W66" s="8">
        <f>0.267/30</f>
        <v>0.0089</v>
      </c>
      <c r="X66" s="8">
        <f>0.25/30</f>
        <v>0.008333333333333333</v>
      </c>
    </row>
    <row r="67" spans="1:24" s="8" customFormat="1" ht="11.25">
      <c r="A67" s="8" t="s">
        <v>64</v>
      </c>
      <c r="L67" s="8">
        <f>1.57/20</f>
        <v>0.0785</v>
      </c>
      <c r="M67" s="8">
        <f>1/20</f>
        <v>0.05</v>
      </c>
      <c r="N67" s="8">
        <f>0.7/20</f>
        <v>0.034999999999999996</v>
      </c>
      <c r="O67" s="8">
        <f>1.25/20</f>
        <v>0.0625</v>
      </c>
      <c r="P67" s="8">
        <f>0.67/20</f>
        <v>0.0335</v>
      </c>
      <c r="Q67" s="8">
        <f>0.11/20</f>
        <v>0.0055</v>
      </c>
      <c r="R67" s="8">
        <f>0.46/20</f>
        <v>0.023</v>
      </c>
      <c r="S67" s="8">
        <v>0.01</v>
      </c>
      <c r="T67" s="8">
        <f>1.143/20</f>
        <v>0.05715</v>
      </c>
      <c r="U67" s="8">
        <f>0.231/20</f>
        <v>0.011550000000000001</v>
      </c>
      <c r="V67" s="8">
        <f>0.5/20</f>
        <v>0.025</v>
      </c>
      <c r="W67" s="8">
        <f>0.579/20</f>
        <v>0.028949999999999997</v>
      </c>
      <c r="X67" s="8">
        <f>0.75/20</f>
        <v>0.0375</v>
      </c>
    </row>
    <row r="68" spans="1:24" s="8" customFormat="1" ht="11.25">
      <c r="A68" s="8" t="s">
        <v>23</v>
      </c>
      <c r="C68" s="8">
        <f>13.36/94.5</f>
        <v>0.14137566137566138</v>
      </c>
      <c r="D68" s="8">
        <f>12.3/94.5</f>
        <v>0.13015873015873017</v>
      </c>
      <c r="E68" s="8">
        <f>18.13/94.5</f>
        <v>0.19185185185185183</v>
      </c>
      <c r="F68" s="8">
        <v>0.1684</v>
      </c>
      <c r="G68" s="8">
        <f>13.64/94.5</f>
        <v>0.14433862433862435</v>
      </c>
      <c r="H68" s="8">
        <f>6.39/94.5</f>
        <v>0.06761904761904762</v>
      </c>
      <c r="I68" s="8">
        <f>4.63/94.5</f>
        <v>0.048994708994708994</v>
      </c>
      <c r="J68" s="8">
        <f>5.04/94.5</f>
        <v>0.05333333333333334</v>
      </c>
      <c r="K68" s="8">
        <f>3.37/94.5</f>
        <v>0.035661375661375665</v>
      </c>
      <c r="L68" s="8">
        <f>2.66/94.5</f>
        <v>0.02814814814814815</v>
      </c>
      <c r="M68" s="8">
        <f>1.44/94.5</f>
        <v>0.015238095238095238</v>
      </c>
      <c r="N68" s="8">
        <f>4.27/94.5</f>
        <v>0.04518518518518518</v>
      </c>
      <c r="O68" s="8">
        <f>4.2/94.5</f>
        <v>0.044444444444444446</v>
      </c>
      <c r="P68" s="8">
        <f>5.39/94.5</f>
        <v>0.05703703703703703</v>
      </c>
      <c r="Q68" s="8">
        <f>3.175/94.5</f>
        <v>0.0335978835978836</v>
      </c>
      <c r="R68" s="8">
        <f>3.07/94.5</f>
        <v>0.03248677248677249</v>
      </c>
      <c r="S68" s="8">
        <v>0.031</v>
      </c>
      <c r="T68" s="8">
        <v>0.016</v>
      </c>
      <c r="U68" s="8">
        <v>0.01</v>
      </c>
      <c r="V68" s="8">
        <v>0.008</v>
      </c>
      <c r="W68" s="8">
        <f>1.386/94.5</f>
        <v>0.014666666666666666</v>
      </c>
      <c r="X68" s="8">
        <v>0.01</v>
      </c>
    </row>
    <row r="69" spans="1:24" s="8" customFormat="1" ht="11.25">
      <c r="A69" s="8" t="s">
        <v>24</v>
      </c>
      <c r="C69" s="8">
        <f>19.47/114</f>
        <v>0.17078947368421052</v>
      </c>
      <c r="D69" s="8">
        <f>22.05/114</f>
        <v>0.19342105263157897</v>
      </c>
      <c r="E69" s="8">
        <f>26.13/114</f>
        <v>0.22921052631578948</v>
      </c>
      <c r="F69" s="8">
        <v>0.2</v>
      </c>
      <c r="G69" s="8">
        <f>23.21/144</f>
        <v>0.16118055555555555</v>
      </c>
      <c r="H69" s="8">
        <f>10.27/144</f>
        <v>0.07131944444444444</v>
      </c>
      <c r="I69" s="8">
        <f>6.58/144</f>
        <v>0.04569444444444445</v>
      </c>
      <c r="J69" s="8">
        <f>5.04/124.5</f>
        <v>0.04048192771084337</v>
      </c>
      <c r="K69" s="8">
        <f>4.97/124.5</f>
        <v>0.039919678714859436</v>
      </c>
      <c r="L69" s="8">
        <f>5.49/144.5</f>
        <v>0.03799307958477509</v>
      </c>
      <c r="M69" s="8">
        <f>3.34/144.5</f>
        <v>0.023114186851211072</v>
      </c>
      <c r="N69" s="8">
        <f>5.54/144.5</f>
        <v>0.03833910034602076</v>
      </c>
      <c r="O69" s="8">
        <f>5.99/144.5</f>
        <v>0.04145328719723183</v>
      </c>
      <c r="P69" s="8">
        <f>6.34/144.5</f>
        <v>0.04387543252595156</v>
      </c>
      <c r="Q69" s="8">
        <f>3.386/144.5</f>
        <v>0.023432525951557093</v>
      </c>
      <c r="R69" s="8">
        <f>3.964/144.5</f>
        <v>0.027432525951557093</v>
      </c>
      <c r="S69" s="8">
        <v>0.025</v>
      </c>
      <c r="T69" s="8">
        <v>0.02</v>
      </c>
      <c r="U69" s="8">
        <v>0.009</v>
      </c>
      <c r="V69" s="8">
        <v>0.009</v>
      </c>
      <c r="W69" s="8">
        <f>2.232/144.5</f>
        <v>0.015446366782006922</v>
      </c>
      <c r="X69" s="8">
        <v>0.014</v>
      </c>
    </row>
    <row r="71" ht="11.25">
      <c r="A71" s="15" t="s">
        <v>72</v>
      </c>
    </row>
    <row r="72" spans="1:24" s="18" customFormat="1" ht="11.25">
      <c r="A72" s="18" t="s">
        <v>58</v>
      </c>
      <c r="C72" s="18">
        <v>1990</v>
      </c>
      <c r="D72" s="18">
        <v>1991</v>
      </c>
      <c r="E72" s="18">
        <v>1992</v>
      </c>
      <c r="F72" s="18">
        <v>1993</v>
      </c>
      <c r="G72" s="18">
        <v>1994</v>
      </c>
      <c r="H72" s="18">
        <v>1995</v>
      </c>
      <c r="I72" s="18">
        <v>1996</v>
      </c>
      <c r="J72" s="18">
        <v>1997</v>
      </c>
      <c r="K72" s="18">
        <v>1998</v>
      </c>
      <c r="L72" s="18">
        <v>1999</v>
      </c>
      <c r="M72" s="18">
        <v>2000</v>
      </c>
      <c r="N72" s="18">
        <v>2001</v>
      </c>
      <c r="O72" s="18">
        <v>2002</v>
      </c>
      <c r="P72" s="18">
        <v>2003</v>
      </c>
      <c r="Q72" s="18">
        <v>2004</v>
      </c>
      <c r="R72" s="18">
        <v>2005</v>
      </c>
      <c r="S72" s="18">
        <v>2006</v>
      </c>
      <c r="T72" s="18">
        <v>2007</v>
      </c>
      <c r="U72" s="18">
        <v>2008</v>
      </c>
      <c r="V72" s="18">
        <v>2009</v>
      </c>
      <c r="W72" s="18">
        <v>2010</v>
      </c>
      <c r="X72" s="18">
        <v>2011</v>
      </c>
    </row>
    <row r="73" spans="1:24" s="8" customFormat="1" ht="11.25">
      <c r="A73" s="8" t="s">
        <v>59</v>
      </c>
      <c r="C73" s="8">
        <f>5.53/43.5</f>
        <v>0.1271264367816092</v>
      </c>
      <c r="D73" s="8">
        <f>5.3/43.5</f>
        <v>0.12183908045977011</v>
      </c>
      <c r="E73" s="8">
        <f>1.75/43.5</f>
        <v>0.040229885057471264</v>
      </c>
      <c r="F73" s="8" t="s">
        <v>14</v>
      </c>
      <c r="G73" s="8">
        <f>1.81/43.5</f>
        <v>0.04160919540229885</v>
      </c>
      <c r="H73" s="8">
        <f>2.09/43.5</f>
        <v>0.04804597701149425</v>
      </c>
      <c r="I73" s="8">
        <f>2.188/43.5</f>
        <v>0.050298850574712645</v>
      </c>
      <c r="J73" s="8">
        <f>3.33/43.5</f>
        <v>0.07655172413793103</v>
      </c>
      <c r="K73" s="8">
        <f>1.65/43.5</f>
        <v>0.03793103448275862</v>
      </c>
      <c r="L73" s="8">
        <f>1.6/43.5</f>
        <v>0.0367816091954023</v>
      </c>
      <c r="M73" s="8">
        <f>0.86/43.5</f>
        <v>0.019770114942528734</v>
      </c>
      <c r="N73" s="8">
        <f>2.78/43.5</f>
        <v>0.0639080459770115</v>
      </c>
      <c r="O73" s="8">
        <f>2.19/43.5</f>
        <v>0.0503448275862069</v>
      </c>
      <c r="P73" s="8">
        <f>1.87/43.5</f>
        <v>0.04298850574712644</v>
      </c>
      <c r="Q73" s="8">
        <f>0.75/43.5</f>
        <v>0.017241379310344827</v>
      </c>
      <c r="R73" s="8">
        <f>0.33/43.5</f>
        <v>0.007586206896551724</v>
      </c>
      <c r="S73" s="8">
        <v>0.011</v>
      </c>
      <c r="T73" s="9">
        <f>0.11/43.5</f>
        <v>0.002528735632183908</v>
      </c>
      <c r="U73" s="9">
        <f>0.297/43.5</f>
        <v>0.006827586206896551</v>
      </c>
      <c r="V73" s="9">
        <f>0.183/43.5</f>
        <v>0.004206896551724138</v>
      </c>
      <c r="W73" s="9">
        <f>0.481/43.5</f>
        <v>0.011057471264367815</v>
      </c>
      <c r="X73" s="9">
        <f>0.314/43.5</f>
        <v>0.007218390804597701</v>
      </c>
    </row>
    <row r="74" spans="1:24" s="8" customFormat="1" ht="11.25">
      <c r="A74" s="8" t="s">
        <v>60</v>
      </c>
      <c r="C74" s="8">
        <f>0.8/19</f>
        <v>0.042105263157894736</v>
      </c>
      <c r="D74" s="8">
        <f>1.29/19</f>
        <v>0.06789473684210527</v>
      </c>
      <c r="E74" s="8">
        <f>0.5/19</f>
        <v>0.02631578947368421</v>
      </c>
      <c r="F74" s="8">
        <f>1.1/19</f>
        <v>0.05789473684210527</v>
      </c>
      <c r="G74" s="8">
        <f>1.44/19</f>
        <v>0.07578947368421052</v>
      </c>
      <c r="H74" s="8">
        <f>2.25/19</f>
        <v>0.11842105263157894</v>
      </c>
      <c r="I74" s="8">
        <f>1.5/19</f>
        <v>0.07894736842105263</v>
      </c>
      <c r="J74" s="8">
        <f>1.143/19</f>
        <v>0.060157894736842105</v>
      </c>
      <c r="K74" s="8">
        <v>0</v>
      </c>
      <c r="L74" s="8">
        <v>0</v>
      </c>
      <c r="M74" s="8">
        <v>0</v>
      </c>
      <c r="N74" s="8">
        <v>0</v>
      </c>
      <c r="O74" s="8">
        <f>0.09/19</f>
        <v>0.004736842105263157</v>
      </c>
      <c r="P74" s="8">
        <f>0.42/19</f>
        <v>0.022105263157894735</v>
      </c>
      <c r="Q74" s="8">
        <f>0.1/19</f>
        <v>0.005263157894736842</v>
      </c>
      <c r="R74" s="8">
        <v>0</v>
      </c>
      <c r="S74" s="8">
        <v>0.004</v>
      </c>
      <c r="T74" s="8">
        <v>0</v>
      </c>
      <c r="U74" s="8">
        <f>0.059/19</f>
        <v>0.003105263157894737</v>
      </c>
      <c r="V74" s="8">
        <f>0.04/19</f>
        <v>0.002105263157894737</v>
      </c>
      <c r="W74" s="8">
        <v>0</v>
      </c>
      <c r="X74" s="8">
        <f>0.086/19</f>
        <v>0.004526315789473684</v>
      </c>
    </row>
    <row r="75" spans="1:24" s="8" customFormat="1" ht="11.25">
      <c r="A75" s="8" t="s">
        <v>61</v>
      </c>
      <c r="C75" s="8">
        <f>1.44/32</f>
        <v>0.045</v>
      </c>
      <c r="D75" s="8">
        <f>1.5/32</f>
        <v>0.046875</v>
      </c>
      <c r="E75" s="8">
        <f>1/32</f>
        <v>0.03125</v>
      </c>
      <c r="F75" s="8" t="s">
        <v>14</v>
      </c>
      <c r="G75" s="8">
        <f>1.75/32</f>
        <v>0.0546875</v>
      </c>
      <c r="H75" s="8">
        <f>2/32</f>
        <v>0.0625</v>
      </c>
      <c r="I75" s="8">
        <f>0.4/32</f>
        <v>0.0125</v>
      </c>
      <c r="J75" s="8">
        <v>0</v>
      </c>
      <c r="K75" s="8">
        <f>0.75/32</f>
        <v>0.0234375</v>
      </c>
      <c r="L75" s="8">
        <f>0.46/32</f>
        <v>0.014375</v>
      </c>
      <c r="M75" s="8">
        <v>0</v>
      </c>
      <c r="N75" s="8">
        <f>0.167/32</f>
        <v>0.00521875</v>
      </c>
      <c r="O75" s="8">
        <f>0.917/32</f>
        <v>0.02865625</v>
      </c>
      <c r="P75" s="8">
        <f>0.25/32</f>
        <v>0.0078125</v>
      </c>
      <c r="Q75" s="8">
        <f>0.067/32</f>
        <v>0.00209375</v>
      </c>
      <c r="R75" s="8">
        <f>0.077/32</f>
        <v>0.00240625</v>
      </c>
      <c r="S75" s="8">
        <v>0.006</v>
      </c>
      <c r="T75" s="8">
        <f>0.091/32</f>
        <v>0.00284375</v>
      </c>
      <c r="U75" s="8">
        <v>0</v>
      </c>
      <c r="V75" s="8">
        <f>0.136/32</f>
        <v>0.00425</v>
      </c>
      <c r="W75" s="8">
        <f>0.069/32</f>
        <v>0.00215625</v>
      </c>
      <c r="X75" s="8">
        <f>0.313/32</f>
        <v>0.00978125</v>
      </c>
    </row>
    <row r="76" spans="1:9" s="8" customFormat="1" ht="11.25">
      <c r="A76" s="8" t="s">
        <v>62</v>
      </c>
      <c r="C76" s="8">
        <f>0.22/19.5</f>
        <v>0.011282051282051283</v>
      </c>
      <c r="D76" s="8">
        <f>1.25/19.5</f>
        <v>0.0641025641025641</v>
      </c>
      <c r="E76" s="8">
        <f>0.2/19.5</f>
        <v>0.010256410256410256</v>
      </c>
      <c r="F76" s="8">
        <f>2/19.5</f>
        <v>0.10256410256410256</v>
      </c>
      <c r="G76" s="8">
        <f>0.14/19.5</f>
        <v>0.00717948717948718</v>
      </c>
      <c r="H76" s="8">
        <f>0.375/19.5</f>
        <v>0.019230769230769232</v>
      </c>
      <c r="I76" s="8">
        <v>0</v>
      </c>
    </row>
    <row r="77" spans="1:24" s="8" customFormat="1" ht="11.25">
      <c r="A77" s="8" t="s">
        <v>63</v>
      </c>
      <c r="G77" s="8">
        <f>0.33/30</f>
        <v>0.011000000000000001</v>
      </c>
      <c r="H77" s="8">
        <f>1/30</f>
        <v>0.03333333333333333</v>
      </c>
      <c r="I77" s="8">
        <f>0.5/30</f>
        <v>0.016666666666666666</v>
      </c>
      <c r="J77" s="8">
        <f>0.4/30</f>
        <v>0.013333333333333334</v>
      </c>
      <c r="K77" s="8">
        <f>0.47/30</f>
        <v>0.015666666666666666</v>
      </c>
      <c r="L77" s="8">
        <f>0.167/30</f>
        <v>0.005566666666666667</v>
      </c>
      <c r="M77" s="8">
        <f>0.1/30</f>
        <v>0.0033333333333333335</v>
      </c>
      <c r="N77" s="8">
        <f>1.14/30</f>
        <v>0.038</v>
      </c>
      <c r="O77" s="8">
        <f>1.93/30</f>
        <v>0.06433333333333333</v>
      </c>
      <c r="P77" s="8">
        <f>0.43/30</f>
        <v>0.014333333333333333</v>
      </c>
      <c r="Q77" s="8">
        <f>0.21/30</f>
        <v>0.007</v>
      </c>
      <c r="R77" s="8">
        <f>0.11/30</f>
        <v>0.0036666666666666666</v>
      </c>
      <c r="S77" s="8">
        <v>0</v>
      </c>
      <c r="T77" s="8">
        <v>0</v>
      </c>
      <c r="U77" s="8">
        <v>0</v>
      </c>
      <c r="V77" s="8">
        <f>0.105/30</f>
        <v>0.0035</v>
      </c>
      <c r="W77" s="8">
        <f>0.067/30</f>
        <v>0.0022333333333333333</v>
      </c>
      <c r="X77" s="8">
        <f>0.083/30</f>
        <v>0.002766666666666667</v>
      </c>
    </row>
    <row r="78" spans="1:24" s="8" customFormat="1" ht="11.25">
      <c r="A78" s="8" t="s">
        <v>64</v>
      </c>
      <c r="L78" s="8">
        <v>0</v>
      </c>
      <c r="M78" s="8">
        <f>0.27/20</f>
        <v>0.013500000000000002</v>
      </c>
      <c r="N78" s="8">
        <f>0.7/20</f>
        <v>0.034999999999999996</v>
      </c>
      <c r="O78" s="8">
        <f>1/20</f>
        <v>0.05</v>
      </c>
      <c r="P78" s="8">
        <f>0.667/20</f>
        <v>0.033350000000000005</v>
      </c>
      <c r="Q78" s="8">
        <f>0.158/20</f>
        <v>0.0079</v>
      </c>
      <c r="R78" s="8">
        <v>0</v>
      </c>
      <c r="S78" s="8">
        <v>0.02</v>
      </c>
      <c r="T78" s="8">
        <f>0.429/20</f>
        <v>0.02145</v>
      </c>
      <c r="U78" s="8">
        <v>0</v>
      </c>
      <c r="V78" s="8">
        <v>0</v>
      </c>
      <c r="W78" s="8">
        <f>0.105/20</f>
        <v>0.0052499999999999995</v>
      </c>
      <c r="X78" s="8">
        <f>0.125/20</f>
        <v>0.00625</v>
      </c>
    </row>
    <row r="79" spans="1:24" s="8" customFormat="1" ht="11.25">
      <c r="A79" s="8" t="s">
        <v>23</v>
      </c>
      <c r="C79" s="8">
        <f>7.77/94.5</f>
        <v>0.08222222222222222</v>
      </c>
      <c r="D79" s="8">
        <f>8.09/94.5</f>
        <v>0.0856084656084656</v>
      </c>
      <c r="E79" s="8">
        <f>3.25/94.5</f>
        <v>0.03439153439153439</v>
      </c>
      <c r="F79" s="8">
        <f>1.1/19</f>
        <v>0.05789473684210527</v>
      </c>
      <c r="G79" s="8">
        <f>5/94.5</f>
        <v>0.05291005291005291</v>
      </c>
      <c r="H79" s="8">
        <f>6.34/94.5</f>
        <v>0.06708994708994709</v>
      </c>
      <c r="I79" s="8">
        <f>4.09/94.5</f>
        <v>0.04328042328042328</v>
      </c>
      <c r="J79" s="8">
        <f>4.48/94.5</f>
        <v>0.04740740740740741</v>
      </c>
      <c r="K79" s="8">
        <f>2.4/94.5</f>
        <v>0.025396825396825397</v>
      </c>
      <c r="L79" s="8">
        <f>2.06/94.5</f>
        <v>0.0217989417989418</v>
      </c>
      <c r="M79" s="8">
        <f>0.857/94.5</f>
        <v>0.009068783068783068</v>
      </c>
      <c r="N79" s="8">
        <f>2.947/94.5</f>
        <v>0.031185185185185187</v>
      </c>
      <c r="O79" s="8">
        <f>3.198/94.5</f>
        <v>0.03384126984126984</v>
      </c>
      <c r="P79" s="8">
        <f>2.538/94.5</f>
        <v>0.026857142857142854</v>
      </c>
      <c r="Q79" s="8">
        <f>0.921/94.5</f>
        <v>0.009746031746031747</v>
      </c>
      <c r="R79" s="8">
        <f>0.41/94.5</f>
        <v>0.004338624338624339</v>
      </c>
      <c r="S79" s="8">
        <v>0.06</v>
      </c>
      <c r="T79" s="8">
        <v>0.016</v>
      </c>
      <c r="U79" s="8">
        <v>0.004</v>
      </c>
      <c r="V79" s="8">
        <v>0.004</v>
      </c>
      <c r="W79" s="8">
        <f>0.55/94.5</f>
        <v>0.005820105820105821</v>
      </c>
      <c r="X79" s="8">
        <v>0.008</v>
      </c>
    </row>
    <row r="80" spans="1:24" s="8" customFormat="1" ht="11.25">
      <c r="A80" s="8" t="s">
        <v>24</v>
      </c>
      <c r="C80" s="8">
        <f>7.99/114</f>
        <v>0.07008771929824562</v>
      </c>
      <c r="D80" s="8">
        <f>9.34/114</f>
        <v>0.0819298245614035</v>
      </c>
      <c r="E80" s="8">
        <f>3.45/114</f>
        <v>0.030263157894736843</v>
      </c>
      <c r="F80" s="8">
        <f>3.1/38.5</f>
        <v>0.08051948051948052</v>
      </c>
      <c r="G80" s="8">
        <f>5.47/144</f>
        <v>0.03798611111111111</v>
      </c>
      <c r="H80" s="8">
        <f>7.71/144</f>
        <v>0.05354166666666667</v>
      </c>
      <c r="I80" s="8">
        <f>4.59/144</f>
        <v>0.031875</v>
      </c>
      <c r="J80" s="8">
        <f>4.88/124.5</f>
        <v>0.03919678714859438</v>
      </c>
      <c r="K80" s="8">
        <f>2.87/124.5</f>
        <v>0.023052208835341367</v>
      </c>
      <c r="L80" s="8">
        <f>2.22/144.5</f>
        <v>0.01536332179930796</v>
      </c>
      <c r="M80" s="8">
        <f>1.224/144.5</f>
        <v>0.008470588235294117</v>
      </c>
      <c r="N80" s="8">
        <f>4.79/144.5</f>
        <v>0.03314878892733564</v>
      </c>
      <c r="O80" s="8">
        <f>6.13/144.5</f>
        <v>0.04242214532871972</v>
      </c>
      <c r="P80" s="8">
        <f>3.63/144.5</f>
        <v>0.025121107266435985</v>
      </c>
      <c r="Q80" s="8">
        <f>1.289/144.5</f>
        <v>0.008920415224913495</v>
      </c>
      <c r="R80" s="8">
        <f>0.88/144.5</f>
        <v>0.006089965397923875</v>
      </c>
      <c r="S80" s="8">
        <v>0.007</v>
      </c>
      <c r="T80" s="8">
        <v>0.02</v>
      </c>
      <c r="U80" s="8">
        <v>0.002</v>
      </c>
      <c r="V80" s="8">
        <v>0.003</v>
      </c>
      <c r="W80" s="8">
        <f>0.722/144.5</f>
        <v>0.004996539792387543</v>
      </c>
      <c r="X80" s="8">
        <v>0.006</v>
      </c>
    </row>
    <row r="82" ht="11.25">
      <c r="A82" s="15" t="s">
        <v>73</v>
      </c>
    </row>
    <row r="83" spans="1:24" s="18" customFormat="1" ht="11.25">
      <c r="A83" s="18" t="s">
        <v>58</v>
      </c>
      <c r="C83" s="18">
        <v>1990</v>
      </c>
      <c r="D83" s="18">
        <v>1991</v>
      </c>
      <c r="E83" s="18">
        <v>1992</v>
      </c>
      <c r="F83" s="18">
        <v>1993</v>
      </c>
      <c r="G83" s="18">
        <v>1994</v>
      </c>
      <c r="H83" s="18">
        <v>1995</v>
      </c>
      <c r="I83" s="18">
        <v>1996</v>
      </c>
      <c r="J83" s="18">
        <v>1997</v>
      </c>
      <c r="K83" s="18">
        <v>1998</v>
      </c>
      <c r="L83" s="18">
        <v>1999</v>
      </c>
      <c r="M83" s="18">
        <v>2000</v>
      </c>
      <c r="N83" s="18">
        <v>2001</v>
      </c>
      <c r="O83" s="18">
        <v>2002</v>
      </c>
      <c r="P83" s="18">
        <v>2003</v>
      </c>
      <c r="Q83" s="18">
        <v>2004</v>
      </c>
      <c r="R83" s="18">
        <v>2005</v>
      </c>
      <c r="S83" s="18">
        <v>2006</v>
      </c>
      <c r="T83" s="18">
        <v>2007</v>
      </c>
      <c r="U83" s="20">
        <v>2008</v>
      </c>
      <c r="V83" s="20" t="s">
        <v>148</v>
      </c>
      <c r="W83" s="20" t="s">
        <v>153</v>
      </c>
      <c r="X83" s="20" t="s">
        <v>155</v>
      </c>
    </row>
    <row r="84" spans="1:24" s="8" customFormat="1" ht="11.25">
      <c r="A84" s="8" t="s">
        <v>59</v>
      </c>
      <c r="C84" s="8">
        <f>0.65/43.5</f>
        <v>0.014942528735632184</v>
      </c>
      <c r="D84" s="8">
        <f>1.5/43.5</f>
        <v>0.034482758620689655</v>
      </c>
      <c r="E84" s="8">
        <f>1.5/43.5</f>
        <v>0.034482758620689655</v>
      </c>
      <c r="F84" s="8" t="s">
        <v>14</v>
      </c>
      <c r="G84" s="8">
        <f>4.77/43.5</f>
        <v>0.10965517241379309</v>
      </c>
      <c r="H84" s="8">
        <f>1.773/43.5</f>
        <v>0.04075862068965517</v>
      </c>
      <c r="I84" s="8">
        <f>1.75/43.5</f>
        <v>0.040229885057471264</v>
      </c>
      <c r="J84" s="8">
        <f>2.22/43.5</f>
        <v>0.05103448275862069</v>
      </c>
      <c r="K84" s="8">
        <f>2.1/43.5</f>
        <v>0.04827586206896552</v>
      </c>
      <c r="L84" s="8">
        <f>2.4/43.5</f>
        <v>0.05517241379310345</v>
      </c>
      <c r="M84" s="8">
        <f>1/43.5</f>
        <v>0.022988505747126436</v>
      </c>
      <c r="N84" s="8">
        <f>2.118/43.5</f>
        <v>0.04868965517241379</v>
      </c>
      <c r="O84" s="8">
        <f>4.269/43.5</f>
        <v>0.09813793103448276</v>
      </c>
      <c r="P84" s="8">
        <f>2.048/43.5</f>
        <v>0.04708045977011494</v>
      </c>
      <c r="Q84" s="8">
        <f>1.388/43.5</f>
        <v>0.03190804597701149</v>
      </c>
      <c r="R84" s="8">
        <f>1.3/43.5</f>
        <v>0.029885057471264367</v>
      </c>
      <c r="S84" s="8">
        <v>0.05</v>
      </c>
      <c r="T84" s="9">
        <f>0.68/43.5</f>
        <v>0.01563218390804598</v>
      </c>
      <c r="U84" s="9">
        <f>0.886/43.5</f>
        <v>0.020367816091954025</v>
      </c>
      <c r="V84" s="9">
        <f>0.6/43.5</f>
        <v>0.013793103448275862</v>
      </c>
      <c r="W84" s="9">
        <f>0.587/43.5</f>
        <v>0.013494252873563218</v>
      </c>
      <c r="X84" s="9">
        <f>0.772/43.5</f>
        <v>0.01774712643678161</v>
      </c>
    </row>
    <row r="85" spans="1:24" s="8" customFormat="1" ht="11.25">
      <c r="A85" s="8" t="s">
        <v>60</v>
      </c>
      <c r="C85" s="8">
        <f>0.1/19</f>
        <v>0.005263157894736842</v>
      </c>
      <c r="D85" s="8">
        <f>0.14/19</f>
        <v>0.00736842105263158</v>
      </c>
      <c r="E85" s="8">
        <f>0.25/19</f>
        <v>0.013157894736842105</v>
      </c>
      <c r="F85" s="8">
        <v>0</v>
      </c>
      <c r="G85" s="8">
        <f>0.94/19</f>
        <v>0.049473684210526316</v>
      </c>
      <c r="H85" s="8">
        <f>0.688/19</f>
        <v>0.03621052631578947</v>
      </c>
      <c r="I85" s="8">
        <f>0.75/19</f>
        <v>0.039473684210526314</v>
      </c>
      <c r="J85" s="8">
        <f>0.429/19</f>
        <v>0.022578947368421053</v>
      </c>
      <c r="K85" s="8">
        <f>0.33/19</f>
        <v>0.017368421052631578</v>
      </c>
      <c r="L85" s="8">
        <f>0.273/19</f>
        <v>0.01436842105263158</v>
      </c>
      <c r="M85" s="8">
        <f>0.556/19</f>
        <v>0.029263157894736845</v>
      </c>
      <c r="N85" s="8">
        <f>0.818/19</f>
        <v>0.04305263157894736</v>
      </c>
      <c r="O85" s="8">
        <f>1/19</f>
        <v>0.05263157894736842</v>
      </c>
      <c r="P85" s="8">
        <f>0.33/19</f>
        <v>0.017368421052631578</v>
      </c>
      <c r="Q85" s="8">
        <f>0.25/19</f>
        <v>0.013157894736842105</v>
      </c>
      <c r="R85" s="8">
        <f>0.214/19</f>
        <v>0.011263157894736841</v>
      </c>
      <c r="S85" s="8">
        <v>0.057</v>
      </c>
      <c r="T85" s="8">
        <f>0.235/19</f>
        <v>0.012368421052631579</v>
      </c>
      <c r="U85" s="8">
        <f>0.588/19</f>
        <v>0.03094736842105263</v>
      </c>
      <c r="V85" s="8">
        <f>0.04/19</f>
        <v>0.002105263157894737</v>
      </c>
      <c r="W85" s="8">
        <v>0</v>
      </c>
      <c r="X85" s="8">
        <f>0.086/19</f>
        <v>0.004526315789473684</v>
      </c>
    </row>
    <row r="86" spans="1:24" s="8" customFormat="1" ht="11.25">
      <c r="A86" s="8" t="s">
        <v>61</v>
      </c>
      <c r="C86" s="8">
        <f>0.81/32</f>
        <v>0.0253125</v>
      </c>
      <c r="D86" s="8">
        <v>0</v>
      </c>
      <c r="E86" s="8">
        <f>1.75/32</f>
        <v>0.0546875</v>
      </c>
      <c r="F86" s="8" t="s">
        <v>14</v>
      </c>
      <c r="G86" s="8">
        <f>1.63/32</f>
        <v>0.0509375</v>
      </c>
      <c r="H86" s="8">
        <f>2/32</f>
        <v>0.0625</v>
      </c>
      <c r="I86" s="8">
        <f>1.2/32</f>
        <v>0.0375</v>
      </c>
      <c r="J86" s="8">
        <f>2/32</f>
        <v>0.0625</v>
      </c>
      <c r="K86" s="8">
        <f>0.5/32</f>
        <v>0.015625</v>
      </c>
      <c r="L86" s="8">
        <f>1.091/32</f>
        <v>0.03409375</v>
      </c>
      <c r="M86" s="8">
        <f>1.556/32</f>
        <v>0.048625</v>
      </c>
      <c r="N86" s="8">
        <f>2.5/32</f>
        <v>0.078125</v>
      </c>
      <c r="O86" s="8">
        <f>2.167/32</f>
        <v>0.06771875</v>
      </c>
      <c r="P86" s="8">
        <f>1/32</f>
        <v>0.03125</v>
      </c>
      <c r="Q86" s="8">
        <f>0.8/32</f>
        <v>0.025</v>
      </c>
      <c r="R86" s="8">
        <f>0.846/32</f>
        <v>0.0264375</v>
      </c>
      <c r="S86" s="8">
        <v>0.008</v>
      </c>
      <c r="T86" s="8">
        <f>1.272/32</f>
        <v>0.03975</v>
      </c>
      <c r="U86" s="8">
        <f>1.167/32</f>
        <v>0.03646875</v>
      </c>
      <c r="V86" s="8">
        <f>1.045/32</f>
        <v>0.03265625</v>
      </c>
      <c r="W86" s="8">
        <f>0.483/32</f>
        <v>0.01509375</v>
      </c>
      <c r="X86" s="8">
        <f>0.563/32</f>
        <v>0.01759375</v>
      </c>
    </row>
    <row r="87" spans="1:9" s="8" customFormat="1" ht="11.25">
      <c r="A87" s="8" t="s">
        <v>62</v>
      </c>
      <c r="C87" s="8">
        <f>0.55/19.5</f>
        <v>0.02820512820512821</v>
      </c>
      <c r="D87" s="8">
        <f>0.38/19.5</f>
        <v>0.019487179487179488</v>
      </c>
      <c r="E87" s="8">
        <f>1.2/19.5</f>
        <v>0.061538461538461535</v>
      </c>
      <c r="F87" s="8">
        <f>1/19.5</f>
        <v>0.05128205128205128</v>
      </c>
      <c r="G87" s="8">
        <f>0.71/19.5</f>
        <v>0.03641025641025641</v>
      </c>
      <c r="H87" s="8">
        <f>0.375/19.5</f>
        <v>0.019230769230769232</v>
      </c>
      <c r="I87" s="8">
        <f>1.2/19.5</f>
        <v>0.061538461538461535</v>
      </c>
    </row>
    <row r="88" spans="1:24" s="8" customFormat="1" ht="11.25">
      <c r="A88" s="8" t="s">
        <v>63</v>
      </c>
      <c r="G88" s="8">
        <v>0</v>
      </c>
      <c r="H88" s="8">
        <f>0.167/30</f>
        <v>0.005566666666666667</v>
      </c>
      <c r="I88" s="8">
        <f>0.5/30</f>
        <v>0.016666666666666666</v>
      </c>
      <c r="J88" s="8">
        <v>0</v>
      </c>
      <c r="K88" s="8">
        <f>0.733/30</f>
        <v>0.02443333333333333</v>
      </c>
      <c r="L88" s="8">
        <f>0.417/30</f>
        <v>0.0139</v>
      </c>
      <c r="M88" s="8">
        <f>0.2/30</f>
        <v>0.006666666666666667</v>
      </c>
      <c r="N88" s="8">
        <f>0.857/30</f>
        <v>0.028566666666666667</v>
      </c>
      <c r="O88" s="8">
        <f>0.267/30</f>
        <v>0.0089</v>
      </c>
      <c r="P88" s="8">
        <f>0.143/30</f>
        <v>0.0047666666666666664</v>
      </c>
      <c r="Q88" s="8">
        <f>0.211/30</f>
        <v>0.007033333333333333</v>
      </c>
      <c r="R88" s="8">
        <f>0.111/30</f>
        <v>0.0037</v>
      </c>
      <c r="S88" s="8">
        <v>0.009</v>
      </c>
      <c r="T88" s="8">
        <v>0</v>
      </c>
      <c r="U88" s="8">
        <f>0.077/30</f>
        <v>0.0025666666666666667</v>
      </c>
      <c r="V88" s="8">
        <f>0.211/30</f>
        <v>0.007033333333333333</v>
      </c>
      <c r="W88" s="8">
        <f>0.067/30</f>
        <v>0.0022333333333333333</v>
      </c>
      <c r="X88" s="8">
        <f>0.25/30</f>
        <v>0.008333333333333333</v>
      </c>
    </row>
    <row r="89" spans="1:24" s="8" customFormat="1" ht="11.25">
      <c r="A89" s="8" t="s">
        <v>64</v>
      </c>
      <c r="L89" s="8">
        <v>0</v>
      </c>
      <c r="M89" s="8">
        <v>0</v>
      </c>
      <c r="N89" s="8">
        <v>0</v>
      </c>
      <c r="O89" s="8">
        <f>0.375/20</f>
        <v>0.01875</v>
      </c>
      <c r="P89" s="8">
        <v>0</v>
      </c>
      <c r="Q89" s="8">
        <f>0.211/20</f>
        <v>0.01055</v>
      </c>
      <c r="R89" s="8">
        <f>0.091/20</f>
        <v>0.00455</v>
      </c>
      <c r="S89" s="8">
        <v>0</v>
      </c>
      <c r="T89" s="8">
        <f>0.143/20</f>
        <v>0.007149999999999999</v>
      </c>
      <c r="U89" s="8">
        <f>0.154/20</f>
        <v>0.0077</v>
      </c>
      <c r="V89" s="8">
        <v>0</v>
      </c>
      <c r="W89" s="8">
        <f>0.158/20</f>
        <v>0.0079</v>
      </c>
      <c r="X89" s="8">
        <v>0</v>
      </c>
    </row>
    <row r="90" spans="1:24" s="8" customFormat="1" ht="11.25">
      <c r="A90" s="8" t="s">
        <v>23</v>
      </c>
      <c r="C90" s="8">
        <f>2.55/94.5</f>
        <v>0.026984126984126982</v>
      </c>
      <c r="D90" s="8">
        <f>1.64/94.5</f>
        <v>0.017354497354497355</v>
      </c>
      <c r="E90" s="8">
        <f>3.5/94.5</f>
        <v>0.037037037037037035</v>
      </c>
      <c r="F90" s="8" t="s">
        <v>14</v>
      </c>
      <c r="G90" s="8">
        <f>8.34/94.5</f>
        <v>0.08825396825396825</v>
      </c>
      <c r="H90" s="8">
        <f>4.46/94.5</f>
        <v>0.047195767195767194</v>
      </c>
      <c r="I90" s="8">
        <f>3.7/94.5</f>
        <v>0.039153439153439155</v>
      </c>
      <c r="J90" s="8">
        <f>4.651/94.5</f>
        <v>0.049216931216931215</v>
      </c>
      <c r="K90" s="8">
        <f>2.93/94.5</f>
        <v>0.031005291005291008</v>
      </c>
      <c r="L90" s="8">
        <f>3.764/94.5</f>
        <v>0.03983068783068783</v>
      </c>
      <c r="M90" s="8">
        <f>3.11/94.5</f>
        <v>0.03291005291005291</v>
      </c>
      <c r="N90" s="8">
        <f>5.436/94.5</f>
        <v>0.057523809523809526</v>
      </c>
      <c r="O90" s="8">
        <f>7.436/94.5</f>
        <v>0.07868783068783068</v>
      </c>
      <c r="P90" s="8">
        <f>3.381/94.5</f>
        <v>0.035777777777777776</v>
      </c>
      <c r="Q90" s="8">
        <f>2.438/94.5</f>
        <v>0.0257989417989418</v>
      </c>
      <c r="R90" s="8">
        <f>2.36/94.5</f>
        <v>0.02497354497354497</v>
      </c>
      <c r="S90" s="8">
        <v>0.044</v>
      </c>
      <c r="T90" s="8">
        <v>0.023</v>
      </c>
      <c r="U90" s="8">
        <v>0.028</v>
      </c>
      <c r="V90" s="8">
        <v>0.017</v>
      </c>
      <c r="W90" s="8">
        <f>1.07/94.5</f>
        <v>0.011322751322751323</v>
      </c>
      <c r="X90" s="8">
        <v>0.015</v>
      </c>
    </row>
    <row r="91" spans="1:24" s="8" customFormat="1" ht="11.25">
      <c r="A91" s="8" t="s">
        <v>24</v>
      </c>
      <c r="C91" s="8">
        <f>3.1/114</f>
        <v>0.027192982456140352</v>
      </c>
      <c r="D91" s="8">
        <f>2.04/114</f>
        <v>0.017894736842105262</v>
      </c>
      <c r="E91" s="8">
        <f>4.3/114</f>
        <v>0.037719298245614034</v>
      </c>
      <c r="F91" s="8">
        <f>1/38.5</f>
        <v>0.025974025974025976</v>
      </c>
      <c r="G91" s="8">
        <f>9.05/144</f>
        <v>0.06284722222222222</v>
      </c>
      <c r="H91" s="8">
        <f>5/144</f>
        <v>0.034722222222222224</v>
      </c>
      <c r="I91" s="8">
        <f>5.4/144</f>
        <v>0.037500000000000006</v>
      </c>
      <c r="J91" s="8">
        <f>4.651/124.5</f>
        <v>0.0373574297188755</v>
      </c>
      <c r="K91" s="8">
        <f>3.663/124.5</f>
        <v>0.02942168674698795</v>
      </c>
      <c r="L91" s="8">
        <f>4.18/144.5</f>
        <v>0.028927335640138406</v>
      </c>
      <c r="M91" s="8">
        <f>3.31/144.5</f>
        <v>0.02290657439446367</v>
      </c>
      <c r="N91" s="8">
        <f>6.293/144.5</f>
        <v>0.043550173010380624</v>
      </c>
      <c r="O91" s="8">
        <f>8.077/144.5</f>
        <v>0.055896193771626294</v>
      </c>
      <c r="P91" s="8">
        <f>3.524/94.5</f>
        <v>0.03729100529100529</v>
      </c>
      <c r="Q91" s="8">
        <f>2.859/144.5</f>
        <v>0.019785467128027683</v>
      </c>
      <c r="R91" s="8">
        <f>2.562/144.5</f>
        <v>0.017730103806228373</v>
      </c>
      <c r="S91" s="8">
        <v>0.031</v>
      </c>
      <c r="T91" s="8">
        <v>0.016</v>
      </c>
      <c r="U91" s="8">
        <v>0.02</v>
      </c>
      <c r="V91" s="8">
        <v>0.013</v>
      </c>
      <c r="W91" s="8">
        <f>1.295/144.5</f>
        <v>0.008961937716262976</v>
      </c>
      <c r="X91" s="8">
        <v>0.012</v>
      </c>
    </row>
    <row r="93" ht="11.25">
      <c r="A93" s="15" t="s">
        <v>74</v>
      </c>
    </row>
    <row r="94" spans="1:24" s="18" customFormat="1" ht="11.25">
      <c r="A94" s="18" t="s">
        <v>58</v>
      </c>
      <c r="C94" s="18">
        <v>1990</v>
      </c>
      <c r="D94" s="18">
        <v>1991</v>
      </c>
      <c r="E94" s="18">
        <v>1992</v>
      </c>
      <c r="F94" s="18">
        <v>1993</v>
      </c>
      <c r="G94" s="18">
        <v>1994</v>
      </c>
      <c r="H94" s="18">
        <v>1995</v>
      </c>
      <c r="I94" s="18">
        <v>1996</v>
      </c>
      <c r="J94" s="18">
        <v>1997</v>
      </c>
      <c r="K94" s="18">
        <v>1998</v>
      </c>
      <c r="L94" s="18">
        <v>1999</v>
      </c>
      <c r="M94" s="18">
        <v>2000</v>
      </c>
      <c r="N94" s="18">
        <v>2001</v>
      </c>
      <c r="O94" s="18">
        <v>2002</v>
      </c>
      <c r="P94" s="18">
        <v>2003</v>
      </c>
      <c r="Q94" s="18">
        <v>2004</v>
      </c>
      <c r="R94" s="18">
        <v>2005</v>
      </c>
      <c r="S94" s="18">
        <v>2006</v>
      </c>
      <c r="T94" s="18">
        <v>2007</v>
      </c>
      <c r="U94" s="18">
        <v>2008</v>
      </c>
      <c r="V94" s="18">
        <v>2009</v>
      </c>
      <c r="W94" s="18">
        <v>2010</v>
      </c>
      <c r="X94" s="18">
        <v>2011</v>
      </c>
    </row>
    <row r="95" spans="1:24" s="8" customFormat="1" ht="11.25">
      <c r="A95" s="8" t="s">
        <v>59</v>
      </c>
      <c r="C95" s="8">
        <f>2.88/43.5</f>
        <v>0.06620689655172414</v>
      </c>
      <c r="D95" s="8">
        <f>4.8/43.5</f>
        <v>0.1103448275862069</v>
      </c>
      <c r="E95" s="8">
        <f>4.75/43.5</f>
        <v>0.10919540229885058</v>
      </c>
      <c r="F95" s="8" t="s">
        <v>14</v>
      </c>
      <c r="G95" s="8">
        <f>3.7/43.5</f>
        <v>0.08505747126436781</v>
      </c>
      <c r="H95" s="8">
        <f>3.864/43.5</f>
        <v>0.08882758620689656</v>
      </c>
      <c r="I95" s="8">
        <f>3.688/43.5</f>
        <v>0.0847816091954023</v>
      </c>
      <c r="J95" s="8">
        <f>5.22/43.5</f>
        <v>0.12</v>
      </c>
      <c r="K95" s="8">
        <f>5.95/43.5</f>
        <v>0.1367816091954023</v>
      </c>
      <c r="L95" s="8">
        <f>7.5/43.5</f>
        <v>0.1724137931034483</v>
      </c>
      <c r="M95" s="8">
        <f>7.21/43.5</f>
        <v>0.1657471264367816</v>
      </c>
      <c r="N95" s="8">
        <v>0.2207</v>
      </c>
      <c r="O95" s="8">
        <v>0.2174</v>
      </c>
      <c r="P95" s="8">
        <f>6.27/43.5</f>
        <v>0.14413793103448275</v>
      </c>
      <c r="Q95" s="8">
        <f>6.66/43.5</f>
        <v>0.15310344827586206</v>
      </c>
      <c r="R95" s="8">
        <f>7.7/43.5</f>
        <v>0.17701149425287357</v>
      </c>
      <c r="S95" s="8">
        <v>0.262</v>
      </c>
      <c r="T95" s="9">
        <f>11.05/43.5</f>
        <v>0.2540229885057471</v>
      </c>
      <c r="U95" s="9">
        <f>6.852/43.5</f>
        <v>0.15751724137931036</v>
      </c>
      <c r="V95" s="9">
        <f>9.133/43.5</f>
        <v>0.20995402298850574</v>
      </c>
      <c r="W95" s="9">
        <f>6.03/43.5</f>
        <v>0.1386206896551724</v>
      </c>
      <c r="X95" s="9">
        <f>6.134/43.5</f>
        <v>0.14101149425287357</v>
      </c>
    </row>
    <row r="96" spans="1:24" s="8" customFormat="1" ht="11.25">
      <c r="A96" s="8" t="s">
        <v>60</v>
      </c>
      <c r="C96" s="8">
        <f>0.8/19</f>
        <v>0.042105263157894736</v>
      </c>
      <c r="D96" s="8">
        <f>1.29/19</f>
        <v>0.06789473684210527</v>
      </c>
      <c r="E96" s="8">
        <f>3.25/19</f>
        <v>0.17105263157894737</v>
      </c>
      <c r="F96" s="8">
        <f>2/19</f>
        <v>0.10526315789473684</v>
      </c>
      <c r="G96" s="8">
        <f>2/19</f>
        <v>0.10526315789473684</v>
      </c>
      <c r="H96" s="8">
        <f>2.25/19</f>
        <v>0.11842105263157894</v>
      </c>
      <c r="I96" s="8">
        <f>2.25/19</f>
        <v>0.11842105263157894</v>
      </c>
      <c r="J96" s="8">
        <f>3.214/19</f>
        <v>0.1691578947368421</v>
      </c>
      <c r="K96" s="8">
        <f>4.17/19</f>
        <v>0.21947368421052632</v>
      </c>
      <c r="L96" s="8">
        <f>4.64/19</f>
        <v>0.24421052631578946</v>
      </c>
      <c r="M96" s="8">
        <f>2.7/19</f>
        <v>0.14210526315789473</v>
      </c>
      <c r="N96" s="8">
        <v>0.1721</v>
      </c>
      <c r="O96" s="8">
        <v>0.1195</v>
      </c>
      <c r="P96" s="8">
        <f>0.833/19</f>
        <v>0.04384210526315789</v>
      </c>
      <c r="Q96" s="8">
        <f>1.45/19</f>
        <v>0.07631578947368421</v>
      </c>
      <c r="R96" s="8">
        <f>2/19</f>
        <v>0.10526315789473684</v>
      </c>
      <c r="S96" s="8">
        <v>0.182</v>
      </c>
      <c r="T96" s="8">
        <f>2.824/19</f>
        <v>0.14863157894736842</v>
      </c>
      <c r="U96" s="8">
        <f>3/19</f>
        <v>0.15789473684210525</v>
      </c>
      <c r="V96" s="8">
        <f>4.12/19</f>
        <v>0.2168421052631579</v>
      </c>
      <c r="W96" s="8">
        <f>3.263/19</f>
        <v>0.17173684210526316</v>
      </c>
      <c r="X96" s="8">
        <f>2.914/19</f>
        <v>0.1533684210526316</v>
      </c>
    </row>
    <row r="97" spans="1:24" s="8" customFormat="1" ht="11.25">
      <c r="A97" s="8" t="s">
        <v>61</v>
      </c>
      <c r="C97" s="8">
        <f>1.31/32</f>
        <v>0.0409375</v>
      </c>
      <c r="D97" s="8">
        <f>2.5/32</f>
        <v>0.078125</v>
      </c>
      <c r="E97" s="8">
        <f>1.63/32</f>
        <v>0.0509375</v>
      </c>
      <c r="F97" s="8" t="s">
        <v>14</v>
      </c>
      <c r="G97" s="8">
        <f>1.5/32</f>
        <v>0.046875</v>
      </c>
      <c r="H97" s="8">
        <f>2.2/32</f>
        <v>0.06875</v>
      </c>
      <c r="I97" s="8">
        <f>1.4/32</f>
        <v>0.04375</v>
      </c>
      <c r="J97" s="8">
        <f>0.67/32</f>
        <v>0.0209375</v>
      </c>
      <c r="K97" s="8">
        <f>1.58/32</f>
        <v>0.049375</v>
      </c>
      <c r="L97" s="8">
        <f>2.36/32</f>
        <v>0.07375</v>
      </c>
      <c r="M97" s="8">
        <f>1.67/32</f>
        <v>0.0521875</v>
      </c>
      <c r="N97" s="8">
        <v>0.0728</v>
      </c>
      <c r="O97" s="8">
        <v>0.0938</v>
      </c>
      <c r="P97" s="8">
        <f>1.42/32</f>
        <v>0.044375</v>
      </c>
      <c r="Q97" s="8">
        <f>1.73/32</f>
        <v>0.0540625</v>
      </c>
      <c r="R97" s="8">
        <f>2.46/32</f>
        <v>0.076875</v>
      </c>
      <c r="S97" s="8">
        <v>0.103</v>
      </c>
      <c r="T97" s="8">
        <f>3.909/32</f>
        <v>0.12215625</v>
      </c>
      <c r="U97" s="8">
        <f>2.667/32</f>
        <v>0.08334375</v>
      </c>
      <c r="V97" s="8">
        <f>4.045/32</f>
        <v>0.12640625</v>
      </c>
      <c r="W97" s="8">
        <f>4.103/32</f>
        <v>0.12821875</v>
      </c>
      <c r="X97" s="8">
        <f>4.938/32</f>
        <v>0.1543125</v>
      </c>
    </row>
    <row r="98" spans="1:9" s="8" customFormat="1" ht="11.25">
      <c r="A98" s="8" t="s">
        <v>62</v>
      </c>
      <c r="C98" s="8">
        <f>0.55/19.5</f>
        <v>0.02820512820512821</v>
      </c>
      <c r="D98" s="8">
        <f>2.5/19.5</f>
        <v>0.1282051282051282</v>
      </c>
      <c r="E98" s="8">
        <f>1.6/19.5</f>
        <v>0.08205128205128205</v>
      </c>
      <c r="F98" s="8">
        <f>0.5/19.5</f>
        <v>0.02564102564102564</v>
      </c>
      <c r="G98" s="8">
        <f>1.71/19.5</f>
        <v>0.0876923076923077</v>
      </c>
      <c r="H98" s="8">
        <f>1.5/19.5</f>
        <v>0.07692307692307693</v>
      </c>
      <c r="I98" s="8">
        <f>1/19.5</f>
        <v>0.05128205128205128</v>
      </c>
    </row>
    <row r="99" spans="1:24" s="8" customFormat="1" ht="11.25">
      <c r="A99" s="8" t="s">
        <v>63</v>
      </c>
      <c r="G99" s="8">
        <f>4.44/30</f>
        <v>0.14800000000000002</v>
      </c>
      <c r="H99" s="8">
        <f>7.167/30</f>
        <v>0.2389</v>
      </c>
      <c r="I99" s="8">
        <f>6.75/30</f>
        <v>0.225</v>
      </c>
      <c r="J99" s="8">
        <f>4.6/30</f>
        <v>0.15333333333333332</v>
      </c>
      <c r="K99" s="8">
        <f>9.07/30</f>
        <v>0.30233333333333334</v>
      </c>
      <c r="L99" s="8">
        <f>8.83/30</f>
        <v>0.29433333333333334</v>
      </c>
      <c r="M99" s="8">
        <f>9.3/30</f>
        <v>0.31</v>
      </c>
      <c r="N99" s="8">
        <v>0.438</v>
      </c>
      <c r="O99" s="8">
        <v>0.3023</v>
      </c>
      <c r="P99" s="8">
        <f>8.07/30</f>
        <v>0.269</v>
      </c>
      <c r="Q99" s="8">
        <f>5.9/30</f>
        <v>0.19666666666666668</v>
      </c>
      <c r="R99" s="8">
        <f>9.22/30</f>
        <v>0.30733333333333335</v>
      </c>
      <c r="S99" s="8">
        <v>0.303</v>
      </c>
      <c r="T99" s="8">
        <f>7.333/30</f>
        <v>0.24443333333333334</v>
      </c>
      <c r="U99" s="8">
        <f>6.231/30</f>
        <v>0.2077</v>
      </c>
      <c r="V99" s="8">
        <f>6.579/30</f>
        <v>0.2193</v>
      </c>
      <c r="W99" s="8">
        <f>7.933/30</f>
        <v>0.26443333333333335</v>
      </c>
      <c r="X99" s="8">
        <f>7.833/30</f>
        <v>0.2611</v>
      </c>
    </row>
    <row r="100" spans="1:24" s="8" customFormat="1" ht="11.25">
      <c r="A100" s="8" t="s">
        <v>64</v>
      </c>
      <c r="L100" s="8">
        <f>2.57/20</f>
        <v>0.1285</v>
      </c>
      <c r="M100" s="8">
        <f>5.5/20</f>
        <v>0.275</v>
      </c>
      <c r="N100" s="8">
        <v>0.29</v>
      </c>
      <c r="O100" s="8">
        <v>0.3375</v>
      </c>
      <c r="P100" s="8">
        <f>3.5/20</f>
        <v>0.175</v>
      </c>
      <c r="Q100" s="8">
        <f>2.26/20</f>
        <v>0.11299999999999999</v>
      </c>
      <c r="R100" s="8">
        <f>5.82/20</f>
        <v>0.29100000000000004</v>
      </c>
      <c r="S100" s="8">
        <v>0.305</v>
      </c>
      <c r="T100" s="8">
        <f>5.857/20</f>
        <v>0.29285</v>
      </c>
      <c r="U100" s="8">
        <f>3.462/20</f>
        <v>0.1731</v>
      </c>
      <c r="V100" s="8">
        <f>6.083/20</f>
        <v>0.30415000000000003</v>
      </c>
      <c r="W100" s="8">
        <f>5.053/20</f>
        <v>0.25265</v>
      </c>
      <c r="X100" s="8">
        <f>6.625/20</f>
        <v>0.33125</v>
      </c>
    </row>
    <row r="101" spans="1:24" s="8" customFormat="1" ht="11.25">
      <c r="A101" s="8" t="s">
        <v>23</v>
      </c>
      <c r="C101" s="8">
        <f>4.99/94.5</f>
        <v>0.052804232804232805</v>
      </c>
      <c r="D101" s="8">
        <f>8.59/94.5</f>
        <v>0.0908994708994709</v>
      </c>
      <c r="E101" s="8">
        <f>9.63/94.5</f>
        <v>0.10190476190476191</v>
      </c>
      <c r="F101" s="8">
        <f>2/19</f>
        <v>0.10526315789473684</v>
      </c>
      <c r="G101" s="8">
        <v>0.076</v>
      </c>
      <c r="H101" s="8">
        <v>0.088</v>
      </c>
      <c r="I101" s="8">
        <v>0.078</v>
      </c>
      <c r="J101" s="8">
        <v>0.096</v>
      </c>
      <c r="K101" s="8">
        <v>0.124</v>
      </c>
      <c r="L101" s="8">
        <v>0.153</v>
      </c>
      <c r="M101" s="8">
        <v>0.123</v>
      </c>
      <c r="N101" s="8">
        <v>0.161</v>
      </c>
      <c r="O101" s="8">
        <v>0.155</v>
      </c>
      <c r="P101" s="8">
        <v>0.09</v>
      </c>
      <c r="Q101" s="8">
        <v>0.104</v>
      </c>
      <c r="R101" s="8">
        <v>0.129</v>
      </c>
      <c r="S101" s="8">
        <v>0.192</v>
      </c>
      <c r="T101" s="8">
        <v>0.188</v>
      </c>
      <c r="U101" s="8">
        <v>0.132</v>
      </c>
      <c r="V101" s="8">
        <v>0.181</v>
      </c>
      <c r="W101" s="8">
        <f>13.396/94.5</f>
        <v>0.14175661375661378</v>
      </c>
      <c r="X101" s="8">
        <v>0.148</v>
      </c>
    </row>
    <row r="102" spans="1:24" s="8" customFormat="1" ht="11.25">
      <c r="A102" s="8" t="s">
        <v>24</v>
      </c>
      <c r="C102" s="8">
        <f>5.54/114</f>
        <v>0.04859649122807017</v>
      </c>
      <c r="D102" s="8">
        <f>11.09/114</f>
        <v>0.09728070175438597</v>
      </c>
      <c r="E102" s="8">
        <f>11.23/114</f>
        <v>0.09850877192982456</v>
      </c>
      <c r="F102" s="8">
        <f>0.065</f>
        <v>0.065</v>
      </c>
      <c r="G102" s="8">
        <v>0.093</v>
      </c>
      <c r="H102" s="8">
        <v>0.117</v>
      </c>
      <c r="I102" s="8">
        <v>0.105</v>
      </c>
      <c r="J102" s="8">
        <v>0.11</v>
      </c>
      <c r="K102" s="8">
        <v>0.167</v>
      </c>
      <c r="L102" s="8">
        <v>0.179</v>
      </c>
      <c r="M102" s="8">
        <v>0.183</v>
      </c>
      <c r="N102" s="8">
        <v>0.236</v>
      </c>
      <c r="O102" s="8">
        <v>0.211</v>
      </c>
      <c r="P102" s="8">
        <v>0.139</v>
      </c>
      <c r="Q102" s="8">
        <v>0.124</v>
      </c>
      <c r="R102" s="8">
        <v>0.188</v>
      </c>
      <c r="S102" s="8">
        <v>0.231</v>
      </c>
      <c r="T102" s="8">
        <v>0.214</v>
      </c>
      <c r="U102" s="8">
        <v>0.154</v>
      </c>
      <c r="V102" s="8">
        <v>0.206</v>
      </c>
      <c r="W102" s="8">
        <f>26.382/144.5</f>
        <v>0.18257439446366783</v>
      </c>
      <c r="X102" s="8">
        <v>0.197</v>
      </c>
    </row>
    <row r="104" ht="11.25">
      <c r="A104" s="15" t="s">
        <v>75</v>
      </c>
    </row>
    <row r="105" spans="1:24" s="18" customFormat="1" ht="11.25">
      <c r="A105" s="18" t="s">
        <v>58</v>
      </c>
      <c r="C105" s="18">
        <v>1990</v>
      </c>
      <c r="D105" s="18">
        <v>1991</v>
      </c>
      <c r="E105" s="18">
        <v>1992</v>
      </c>
      <c r="F105" s="18">
        <v>1993</v>
      </c>
      <c r="G105" s="18">
        <v>1994</v>
      </c>
      <c r="H105" s="18">
        <v>1995</v>
      </c>
      <c r="I105" s="18">
        <v>1996</v>
      </c>
      <c r="J105" s="18">
        <v>1997</v>
      </c>
      <c r="K105" s="18">
        <v>1998</v>
      </c>
      <c r="L105" s="18">
        <v>1999</v>
      </c>
      <c r="M105" s="18">
        <v>2000</v>
      </c>
      <c r="N105" s="18">
        <v>2001</v>
      </c>
      <c r="O105" s="18">
        <v>2002</v>
      </c>
      <c r="P105" s="18">
        <v>2003</v>
      </c>
      <c r="Q105" s="18">
        <v>2004</v>
      </c>
      <c r="R105" s="18">
        <v>2005</v>
      </c>
      <c r="S105" s="18">
        <v>2006</v>
      </c>
      <c r="T105" s="18">
        <v>2007</v>
      </c>
      <c r="U105" s="18">
        <v>2008</v>
      </c>
      <c r="V105" s="18">
        <v>2009</v>
      </c>
      <c r="W105" s="18">
        <v>2010</v>
      </c>
      <c r="X105" s="18">
        <v>2011</v>
      </c>
    </row>
    <row r="106" spans="1:24" s="8" customFormat="1" ht="11.25">
      <c r="A106" s="8" t="s">
        <v>59</v>
      </c>
      <c r="C106" s="8">
        <f>0.3/43.5</f>
        <v>0.006896551724137931</v>
      </c>
      <c r="D106" s="8">
        <f>0.4/43.5</f>
        <v>0.009195402298850575</v>
      </c>
      <c r="E106" s="8">
        <v>0</v>
      </c>
      <c r="F106" s="8" t="s">
        <v>14</v>
      </c>
      <c r="G106" s="8">
        <f>0.15/43.5</f>
        <v>0.0034482758620689655</v>
      </c>
      <c r="H106" s="8">
        <f>0.273/43.5</f>
        <v>0.006275862068965517</v>
      </c>
      <c r="I106" s="8">
        <f>0.188/43.5</f>
        <v>0.00432183908045977</v>
      </c>
      <c r="J106" s="8">
        <f>0.111/43.5</f>
        <v>0.0025517241379310347</v>
      </c>
      <c r="K106" s="8">
        <f>0.35/43.5</f>
        <v>0.008045977011494253</v>
      </c>
      <c r="L106" s="8">
        <f>0.2/43.5</f>
        <v>0.004597701149425287</v>
      </c>
      <c r="M106" s="8">
        <f>0.285/43.5</f>
        <v>0.006551724137931034</v>
      </c>
      <c r="N106" s="8">
        <f>0.364/43.5</f>
        <v>0.008367816091954023</v>
      </c>
      <c r="O106" s="8">
        <f>0.547/43.5</f>
        <v>0.012574712643678161</v>
      </c>
      <c r="P106" s="8">
        <f>0.381/43.5</f>
        <v>0.008758620689655173</v>
      </c>
      <c r="Q106" s="8">
        <f>1.67/43.5</f>
        <v>0.038390804597701146</v>
      </c>
      <c r="R106" s="8">
        <f>0.083/43.5</f>
        <v>0.0019080459770114944</v>
      </c>
      <c r="S106" s="8">
        <v>0.006</v>
      </c>
      <c r="T106" s="9">
        <f>0.09/43.5</f>
        <v>0.0020689655172413794</v>
      </c>
      <c r="U106" s="9">
        <f>0.164/43.5</f>
        <v>0.003770114942528736</v>
      </c>
      <c r="V106" s="9">
        <f>0.2/43.5</f>
        <v>0.004597701149425287</v>
      </c>
      <c r="W106" s="9">
        <f>0.037/43.5</f>
        <v>0.0008505747126436781</v>
      </c>
      <c r="X106" s="9">
        <f>0.167/43.5</f>
        <v>0.003839080459770115</v>
      </c>
    </row>
    <row r="107" spans="1:24" s="8" customFormat="1" ht="11.25">
      <c r="A107" s="8" t="s">
        <v>60</v>
      </c>
      <c r="C107" s="8">
        <f>0.1/19</f>
        <v>0.005263157894736842</v>
      </c>
      <c r="D107" s="8">
        <v>0</v>
      </c>
      <c r="E107" s="8">
        <v>0.0132</v>
      </c>
      <c r="F107" s="8">
        <v>0</v>
      </c>
      <c r="G107" s="8">
        <f>0.06/19</f>
        <v>0.003157894736842105</v>
      </c>
      <c r="H107" s="8">
        <f>0.188/19</f>
        <v>0.009894736842105263</v>
      </c>
      <c r="I107" s="8">
        <f>0.75/19</f>
        <v>0.039473684210526314</v>
      </c>
      <c r="J107" s="8">
        <v>0</v>
      </c>
      <c r="K107" s="8">
        <v>0</v>
      </c>
      <c r="L107" s="8">
        <f>0.182/19</f>
        <v>0.009578947368421053</v>
      </c>
      <c r="M107" s="8">
        <v>0</v>
      </c>
      <c r="N107" s="8">
        <f>0.273/19</f>
        <v>0.01436842105263158</v>
      </c>
      <c r="O107" s="8">
        <f>0.091/19</f>
        <v>0.004789473684210527</v>
      </c>
      <c r="P107" s="8">
        <f>0.167/19</f>
        <v>0.008789473684210528</v>
      </c>
      <c r="Q107" s="8">
        <f>0.05/19</f>
        <v>0.002631578947368421</v>
      </c>
      <c r="R107" s="8">
        <f>0.143/19</f>
        <v>0.007526315789473684</v>
      </c>
      <c r="S107" s="8">
        <v>0.004</v>
      </c>
      <c r="T107" s="8">
        <f>0.059/19</f>
        <v>0.003105263157894737</v>
      </c>
      <c r="U107" s="8">
        <f>0.059/19</f>
        <v>0.003105263157894737</v>
      </c>
      <c r="V107" s="8">
        <f>0.16/19</f>
        <v>0.008421052631578947</v>
      </c>
      <c r="W107" s="8">
        <v>0</v>
      </c>
      <c r="X107" s="8">
        <f>0.057/19</f>
        <v>0.003</v>
      </c>
    </row>
    <row r="108" spans="1:24" s="8" customFormat="1" ht="11.25">
      <c r="A108" s="8" t="s">
        <v>61</v>
      </c>
      <c r="C108" s="8">
        <f>0.13/32</f>
        <v>0.0040625</v>
      </c>
      <c r="D108" s="8">
        <v>0</v>
      </c>
      <c r="E108" s="8">
        <v>0.0078</v>
      </c>
      <c r="F108" s="8" t="s">
        <v>14</v>
      </c>
      <c r="G108" s="8">
        <f>0.25/32</f>
        <v>0.0078125</v>
      </c>
      <c r="H108" s="8">
        <f>0.3/32</f>
        <v>0.009375</v>
      </c>
      <c r="I108" s="8">
        <f>0.2/32</f>
        <v>0.00625</v>
      </c>
      <c r="J108" s="8">
        <v>0</v>
      </c>
      <c r="K108" s="8">
        <f>0.25/32</f>
        <v>0.0078125</v>
      </c>
      <c r="L108" s="8">
        <v>0</v>
      </c>
      <c r="M108" s="8">
        <v>0</v>
      </c>
      <c r="N108" s="8">
        <f>0.167/32</f>
        <v>0.00521875</v>
      </c>
      <c r="O108" s="8">
        <v>0</v>
      </c>
      <c r="P108" s="8">
        <v>0</v>
      </c>
      <c r="Q108" s="8">
        <f>0.067/32</f>
        <v>0.00209375</v>
      </c>
      <c r="R108" s="8">
        <f>0.077/32</f>
        <v>0.00240625</v>
      </c>
      <c r="S108" s="8">
        <v>0.006</v>
      </c>
      <c r="T108" s="8">
        <f>0.273/32</f>
        <v>0.00853125</v>
      </c>
      <c r="U108" s="8">
        <f>0.083/32</f>
        <v>0.00259375</v>
      </c>
      <c r="V108" s="8">
        <f>0.091/32</f>
        <v>0.00284375</v>
      </c>
      <c r="W108" s="8">
        <f>0.034/32</f>
        <v>0.0010625</v>
      </c>
      <c r="X108" s="8">
        <f>0.375/32</f>
        <v>0.01171875</v>
      </c>
    </row>
    <row r="109" spans="1:9" s="8" customFormat="1" ht="11.25">
      <c r="A109" s="8" t="s">
        <v>62</v>
      </c>
      <c r="C109" s="8">
        <v>0</v>
      </c>
      <c r="D109" s="8">
        <f>0.13/19.5</f>
        <v>0.006666666666666667</v>
      </c>
      <c r="E109" s="8">
        <v>0.0308</v>
      </c>
      <c r="F109" s="8">
        <v>0</v>
      </c>
      <c r="G109" s="8">
        <f>0.14/19.5</f>
        <v>0.00717948717948718</v>
      </c>
      <c r="H109" s="8">
        <f>0.125/19.5</f>
        <v>0.00641025641025641</v>
      </c>
      <c r="I109" s="8">
        <v>0</v>
      </c>
    </row>
    <row r="110" spans="1:24" s="8" customFormat="1" ht="11.25">
      <c r="A110" s="8" t="s">
        <v>63</v>
      </c>
      <c r="G110" s="8">
        <f>0.11/30</f>
        <v>0.0036666666666666666</v>
      </c>
      <c r="H110" s="8">
        <f>0.333/30</f>
        <v>0.0111</v>
      </c>
      <c r="I110" s="8">
        <f>1/30</f>
        <v>0.03333333333333333</v>
      </c>
      <c r="J110" s="8">
        <v>0</v>
      </c>
      <c r="K110" s="8">
        <f>0.267/30</f>
        <v>0.0089</v>
      </c>
      <c r="L110" s="8">
        <v>0</v>
      </c>
      <c r="M110" s="8">
        <f>0.3/30</f>
        <v>0.01</v>
      </c>
      <c r="N110" s="8">
        <f>0.857/30</f>
        <v>0.028566666666666667</v>
      </c>
      <c r="O110" s="8">
        <f>0.2/30</f>
        <v>0.006666666666666667</v>
      </c>
      <c r="P110" s="8">
        <f>0.143/30</f>
        <v>0.0047666666666666664</v>
      </c>
      <c r="Q110" s="8">
        <f>0.368/30</f>
        <v>0.012266666666666667</v>
      </c>
      <c r="R110" s="8">
        <f>0.111/30</f>
        <v>0.0037</v>
      </c>
      <c r="S110" s="8">
        <v>0.015</v>
      </c>
      <c r="T110" s="8">
        <f>0.5/30</f>
        <v>0.016666666666666666</v>
      </c>
      <c r="U110" s="8">
        <f>0.308/30</f>
        <v>0.010266666666666667</v>
      </c>
      <c r="V110" s="8">
        <f>0.211/30</f>
        <v>0.007033333333333333</v>
      </c>
      <c r="W110" s="8">
        <f>0.267/30</f>
        <v>0.0089</v>
      </c>
      <c r="X110" s="8">
        <f>0.333/30</f>
        <v>0.0111</v>
      </c>
    </row>
    <row r="111" spans="1:24" s="8" customFormat="1" ht="11.25">
      <c r="A111" s="8" t="s">
        <v>64</v>
      </c>
      <c r="L111" s="8">
        <f>0.429/20</f>
        <v>0.02145</v>
      </c>
      <c r="M111" s="8">
        <f>0.267/20</f>
        <v>0.01335</v>
      </c>
      <c r="N111" s="8">
        <f>0.3/20</f>
        <v>0.015</v>
      </c>
      <c r="O111" s="8">
        <f>0.25/20</f>
        <v>0.0125</v>
      </c>
      <c r="P111" s="8">
        <v>0</v>
      </c>
      <c r="Q111" s="8">
        <f>0.368/20</f>
        <v>0.0184</v>
      </c>
      <c r="R111" s="8">
        <f>0.182/20</f>
        <v>0.0091</v>
      </c>
      <c r="S111" s="8">
        <v>0.015</v>
      </c>
      <c r="T111" s="8">
        <f>0.143/20</f>
        <v>0.007149999999999999</v>
      </c>
      <c r="U111" s="8">
        <f>0.077/20</f>
        <v>0.00385</v>
      </c>
      <c r="V111" s="8">
        <v>0</v>
      </c>
      <c r="W111" s="8">
        <f>0.211/20</f>
        <v>0.01055</v>
      </c>
      <c r="X111" s="8">
        <f>0.75/20</f>
        <v>0.0375</v>
      </c>
    </row>
    <row r="112" spans="1:24" s="8" customFormat="1" ht="11.25">
      <c r="A112" s="8" t="s">
        <v>23</v>
      </c>
      <c r="C112" s="8">
        <v>0.006</v>
      </c>
      <c r="D112" s="8">
        <f>0.4/94.5</f>
        <v>0.004232804232804233</v>
      </c>
      <c r="E112" s="8">
        <f>0.5/94.5</f>
        <v>0.005291005291005291</v>
      </c>
      <c r="F112" s="8">
        <v>0</v>
      </c>
      <c r="G112" s="8">
        <f>0.46/94.5</f>
        <v>0.004867724867724868</v>
      </c>
      <c r="H112" s="8">
        <v>0.008</v>
      </c>
      <c r="I112" s="8">
        <v>0.012</v>
      </c>
      <c r="J112" s="8">
        <v>0.001</v>
      </c>
      <c r="K112" s="8">
        <v>0.006</v>
      </c>
      <c r="L112" s="8">
        <v>0.004</v>
      </c>
      <c r="M112" s="8">
        <v>0.003</v>
      </c>
      <c r="N112" s="8">
        <v>0.008</v>
      </c>
      <c r="O112" s="8">
        <v>0.007</v>
      </c>
      <c r="P112" s="8">
        <v>0.006</v>
      </c>
      <c r="Q112" s="8">
        <v>0.019</v>
      </c>
      <c r="R112" s="8">
        <v>0.003</v>
      </c>
      <c r="S112" s="8">
        <v>0.005</v>
      </c>
      <c r="T112" s="8">
        <v>0.004</v>
      </c>
      <c r="U112" s="8">
        <v>0.003</v>
      </c>
      <c r="V112" s="8">
        <v>0.005</v>
      </c>
      <c r="W112" s="8">
        <f>0.071/94.5</f>
        <v>0.0007513227513227512</v>
      </c>
      <c r="X112" s="8">
        <v>0.006</v>
      </c>
    </row>
    <row r="113" spans="1:24" s="8" customFormat="1" ht="11.25">
      <c r="A113" s="8" t="s">
        <v>24</v>
      </c>
      <c r="C113" s="8">
        <v>0.005</v>
      </c>
      <c r="D113" s="8">
        <f>0.53/114</f>
        <v>0.004649122807017544</v>
      </c>
      <c r="E113" s="8">
        <f>1.1/114</f>
        <v>0.009649122807017544</v>
      </c>
      <c r="F113" s="8">
        <v>0</v>
      </c>
      <c r="G113" s="8">
        <f>0.71/144</f>
        <v>0.004930555555555555</v>
      </c>
      <c r="H113" s="8">
        <v>0.008</v>
      </c>
      <c r="I113" s="8">
        <v>0.015</v>
      </c>
      <c r="J113" s="8">
        <v>0.001</v>
      </c>
      <c r="K113" s="8">
        <v>0.007</v>
      </c>
      <c r="L113" s="8">
        <v>0.006</v>
      </c>
      <c r="M113" s="8">
        <v>0.006</v>
      </c>
      <c r="N113" s="8">
        <v>0.014</v>
      </c>
      <c r="O113" s="8">
        <v>0.008</v>
      </c>
      <c r="P113" s="8">
        <v>0.005</v>
      </c>
      <c r="Q113" s="8">
        <v>0.017</v>
      </c>
      <c r="R113" s="8">
        <v>0.004</v>
      </c>
      <c r="S113" s="8">
        <v>0.008</v>
      </c>
      <c r="T113" s="8">
        <v>0.007</v>
      </c>
      <c r="U113" s="8">
        <v>0.005</v>
      </c>
      <c r="V113" s="8">
        <v>0.005</v>
      </c>
      <c r="W113" s="8">
        <f>0.549/144.5</f>
        <v>0.0037993079584775088</v>
      </c>
      <c r="X113" s="8">
        <v>0.012</v>
      </c>
    </row>
  </sheetData>
  <printOptions gridLines="1"/>
  <pageMargins left="0.4" right="0.4" top="0.5" bottom="0.5" header="0.5" footer="0.5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91"/>
  <sheetViews>
    <sheetView workbookViewId="0" topLeftCell="A355">
      <selection activeCell="J376" sqref="J376"/>
    </sheetView>
  </sheetViews>
  <sheetFormatPr defaultColWidth="9.140625" defaultRowHeight="12.75"/>
  <cols>
    <col min="1" max="1" width="8.8515625" style="22" customWidth="1"/>
    <col min="2" max="16384" width="8.8515625" style="11" customWidth="1"/>
  </cols>
  <sheetData>
    <row r="1" ht="11.25">
      <c r="A1" s="15" t="s">
        <v>156</v>
      </c>
    </row>
    <row r="3" spans="1:12" ht="11.25">
      <c r="A3" s="22" t="s">
        <v>31</v>
      </c>
      <c r="E3" s="11" t="s">
        <v>27</v>
      </c>
      <c r="I3" s="11" t="s">
        <v>28</v>
      </c>
      <c r="L3" s="11" t="s">
        <v>48</v>
      </c>
    </row>
    <row r="4" spans="1:9" ht="11.25">
      <c r="A4" s="22" t="s">
        <v>30</v>
      </c>
      <c r="E4" s="11" t="s">
        <v>29</v>
      </c>
      <c r="I4" s="11" t="s">
        <v>42</v>
      </c>
    </row>
    <row r="6" ht="11.25">
      <c r="A6" s="31" t="s">
        <v>32</v>
      </c>
    </row>
    <row r="7" spans="1:9" s="16" customFormat="1" ht="11.25">
      <c r="A7" s="32" t="s">
        <v>0</v>
      </c>
      <c r="B7" s="16" t="s">
        <v>21</v>
      </c>
      <c r="C7" s="16" t="s">
        <v>9</v>
      </c>
      <c r="D7" s="16" t="s">
        <v>10</v>
      </c>
      <c r="E7" s="16" t="s">
        <v>20</v>
      </c>
      <c r="F7" s="16" t="s">
        <v>23</v>
      </c>
      <c r="G7" s="16" t="s">
        <v>26</v>
      </c>
      <c r="H7" s="16" t="s">
        <v>24</v>
      </c>
      <c r="I7" s="16" t="s">
        <v>25</v>
      </c>
    </row>
    <row r="8" spans="1:9" ht="11.25">
      <c r="A8" s="23" t="s">
        <v>4</v>
      </c>
      <c r="B8" s="8">
        <v>3.41</v>
      </c>
      <c r="C8" s="8">
        <v>0</v>
      </c>
      <c r="D8" s="8">
        <v>0.44</v>
      </c>
      <c r="E8" s="8">
        <v>0.11</v>
      </c>
      <c r="F8" s="8">
        <v>3.85</v>
      </c>
      <c r="G8" s="8">
        <f>3.85/94.5</f>
        <v>0.040740740740740744</v>
      </c>
      <c r="H8" s="8">
        <v>3.96</v>
      </c>
      <c r="I8" s="8">
        <f>3.94/114</f>
        <v>0.03456140350877193</v>
      </c>
    </row>
    <row r="9" spans="1:9" ht="11.25">
      <c r="A9" s="23" t="s">
        <v>5</v>
      </c>
      <c r="B9" s="8">
        <v>0.76</v>
      </c>
      <c r="C9" s="8">
        <v>0</v>
      </c>
      <c r="D9" s="8">
        <v>0.06</v>
      </c>
      <c r="E9" s="8">
        <v>0</v>
      </c>
      <c r="F9" s="8">
        <v>0.82</v>
      </c>
      <c r="G9" s="8">
        <f>0.82/94.5</f>
        <v>0.008677248677248678</v>
      </c>
      <c r="H9" s="8">
        <v>0.82</v>
      </c>
      <c r="I9" s="8">
        <f>0.82/114</f>
        <v>0.007192982456140351</v>
      </c>
    </row>
    <row r="10" spans="1:9" ht="11.25">
      <c r="A10" s="23" t="s">
        <v>3</v>
      </c>
      <c r="B10" s="8">
        <v>5.71</v>
      </c>
      <c r="C10" s="8">
        <v>2.8</v>
      </c>
      <c r="D10" s="8">
        <v>2.31</v>
      </c>
      <c r="E10" s="8">
        <v>2.22</v>
      </c>
      <c r="F10" s="8">
        <v>10.82</v>
      </c>
      <c r="G10" s="8">
        <f>10.82/94.5</f>
        <v>0.1144973544973545</v>
      </c>
      <c r="H10" s="8">
        <v>13.04</v>
      </c>
      <c r="I10" s="8">
        <f>13.04/114</f>
        <v>0.11438596491228069</v>
      </c>
    </row>
    <row r="11" spans="1:9" ht="11.25">
      <c r="A11" s="23" t="s">
        <v>1</v>
      </c>
      <c r="B11" s="8">
        <v>5.18</v>
      </c>
      <c r="C11" s="8">
        <v>1</v>
      </c>
      <c r="D11" s="8">
        <v>7.18</v>
      </c>
      <c r="E11" s="8">
        <v>6.11</v>
      </c>
      <c r="F11" s="8">
        <v>13.36</v>
      </c>
      <c r="G11" s="8">
        <f>13.36/94.5</f>
        <v>0.14137566137566138</v>
      </c>
      <c r="H11" s="8">
        <v>19.47</v>
      </c>
      <c r="I11" s="8">
        <f>19.47/114</f>
        <v>0.17078947368421052</v>
      </c>
    </row>
    <row r="12" spans="1:9" ht="11.25">
      <c r="A12" s="23" t="s">
        <v>2</v>
      </c>
      <c r="B12" s="8">
        <v>5.53</v>
      </c>
      <c r="C12" s="8">
        <v>0.8</v>
      </c>
      <c r="D12" s="8">
        <v>1.44</v>
      </c>
      <c r="E12" s="8">
        <v>0.22</v>
      </c>
      <c r="F12" s="8">
        <v>7.77</v>
      </c>
      <c r="G12" s="8">
        <f>7.77/94.5</f>
        <v>0.08222222222222222</v>
      </c>
      <c r="H12" s="8">
        <v>7.99</v>
      </c>
      <c r="I12" s="8">
        <f>7.99/114</f>
        <v>0.07008771929824562</v>
      </c>
    </row>
    <row r="13" spans="1:9" ht="11.25">
      <c r="A13" s="23" t="s">
        <v>17</v>
      </c>
      <c r="B13" s="8">
        <v>0.41</v>
      </c>
      <c r="C13" s="8">
        <v>0.3</v>
      </c>
      <c r="D13" s="8">
        <v>2.25</v>
      </c>
      <c r="E13" s="8">
        <v>1.44</v>
      </c>
      <c r="F13" s="8">
        <v>2.96</v>
      </c>
      <c r="G13" s="8">
        <f>2.96/94.5</f>
        <v>0.03132275132275132</v>
      </c>
      <c r="H13" s="8">
        <v>4.4</v>
      </c>
      <c r="I13" s="8">
        <f>4.4/114</f>
        <v>0.03859649122807018</v>
      </c>
    </row>
    <row r="14" spans="1:9" ht="11.25">
      <c r="A14" s="23" t="s">
        <v>13</v>
      </c>
      <c r="B14" s="8">
        <v>0.65</v>
      </c>
      <c r="C14" s="8">
        <v>0.1</v>
      </c>
      <c r="D14" s="8">
        <v>0.81</v>
      </c>
      <c r="E14" s="8">
        <v>0.55</v>
      </c>
      <c r="F14" s="8">
        <v>2.55</v>
      </c>
      <c r="G14" s="8">
        <f>2.55/94.5</f>
        <v>0.026984126984126982</v>
      </c>
      <c r="H14" s="8">
        <v>3.1</v>
      </c>
      <c r="I14" s="8">
        <f>3.1/114</f>
        <v>0.027192982456140352</v>
      </c>
    </row>
    <row r="15" spans="1:9" ht="11.25">
      <c r="A15" s="23" t="s">
        <v>18</v>
      </c>
      <c r="B15" s="8">
        <v>0.06</v>
      </c>
      <c r="C15" s="8">
        <v>0</v>
      </c>
      <c r="D15" s="8">
        <v>0</v>
      </c>
      <c r="E15" s="8">
        <v>0</v>
      </c>
      <c r="F15" s="8">
        <v>0.06</v>
      </c>
      <c r="G15" s="8">
        <f>0.06/94.5</f>
        <v>0.0006349206349206349</v>
      </c>
      <c r="H15" s="8">
        <v>0.06</v>
      </c>
      <c r="I15" s="8">
        <f>0.06/114</f>
        <v>0.0005263157894736842</v>
      </c>
    </row>
    <row r="16" spans="1:9" ht="11.25">
      <c r="A16" s="23" t="s">
        <v>6</v>
      </c>
      <c r="B16" s="8">
        <v>2.88</v>
      </c>
      <c r="C16" s="8">
        <v>0.8</v>
      </c>
      <c r="D16" s="8">
        <v>1.31</v>
      </c>
      <c r="E16" s="8">
        <v>0.55</v>
      </c>
      <c r="F16" s="8">
        <v>4.99</v>
      </c>
      <c r="G16" s="8">
        <f>4.99/94.5</f>
        <v>0.052804232804232805</v>
      </c>
      <c r="H16" s="8">
        <v>5.54</v>
      </c>
      <c r="I16" s="8">
        <f>5.54/114</f>
        <v>0.04859649122807017</v>
      </c>
    </row>
    <row r="17" spans="1:9" ht="11.25">
      <c r="A17" s="23" t="s">
        <v>7</v>
      </c>
      <c r="B17" s="8">
        <v>0.3</v>
      </c>
      <c r="C17" s="8">
        <v>0.1</v>
      </c>
      <c r="D17" s="8">
        <v>0.13</v>
      </c>
      <c r="E17" s="8">
        <v>0</v>
      </c>
      <c r="F17" s="8">
        <v>0.53</v>
      </c>
      <c r="G17" s="8">
        <f>0.53/94.5</f>
        <v>0.005608465608465609</v>
      </c>
      <c r="H17" s="8">
        <v>0.53</v>
      </c>
      <c r="I17" s="8">
        <f>0.53/114</f>
        <v>0.004649122807017544</v>
      </c>
    </row>
    <row r="18" spans="1:9" ht="11.25">
      <c r="A18" s="23" t="s">
        <v>8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f>0/114</f>
        <v>0</v>
      </c>
      <c r="H18" s="8">
        <v>0</v>
      </c>
      <c r="I18" s="8">
        <v>0</v>
      </c>
    </row>
    <row r="19" spans="1:9" ht="11.25">
      <c r="A19" s="23" t="s">
        <v>15</v>
      </c>
      <c r="B19" s="8">
        <v>0</v>
      </c>
      <c r="C19" s="8">
        <v>0</v>
      </c>
      <c r="D19" s="8">
        <v>0.19</v>
      </c>
      <c r="E19" s="8">
        <v>0.11</v>
      </c>
      <c r="F19" s="8">
        <v>0.19</v>
      </c>
      <c r="G19" s="8">
        <f>0.19/94.5</f>
        <v>0.0020105820105820104</v>
      </c>
      <c r="H19" s="8">
        <v>0.3</v>
      </c>
      <c r="I19" s="8">
        <f>0.3/114</f>
        <v>0.002631578947368421</v>
      </c>
    </row>
    <row r="20" spans="1:9" ht="11.25">
      <c r="A20" s="23" t="s">
        <v>16</v>
      </c>
      <c r="B20" s="8">
        <v>0.59</v>
      </c>
      <c r="C20" s="8">
        <v>0.1</v>
      </c>
      <c r="D20" s="8">
        <v>0.44</v>
      </c>
      <c r="E20" s="8">
        <v>0.22</v>
      </c>
      <c r="F20" s="8">
        <v>1.13</v>
      </c>
      <c r="G20" s="8">
        <f>1.13/94.5</f>
        <v>0.011957671957671957</v>
      </c>
      <c r="H20" s="8">
        <v>1.35</v>
      </c>
      <c r="I20" s="8">
        <f>1.35/114</f>
        <v>0.011842105263157895</v>
      </c>
    </row>
    <row r="21" spans="1:9" ht="11.25">
      <c r="A21" s="23" t="s">
        <v>24</v>
      </c>
      <c r="B21" s="8">
        <f>SUM(B8:B20)</f>
        <v>25.479999999999997</v>
      </c>
      <c r="C21" s="8">
        <f>SUM(C8:C20)</f>
        <v>5.999999999999998</v>
      </c>
      <c r="D21" s="8">
        <f>SUM(D8:D20)</f>
        <v>16.560000000000002</v>
      </c>
      <c r="E21" s="8">
        <f>SUM(E8:E20)</f>
        <v>11.530000000000003</v>
      </c>
      <c r="F21" s="8">
        <f>SUM(F8:F20)</f>
        <v>49.03000000000001</v>
      </c>
      <c r="G21" s="8">
        <f>49.03/94.5</f>
        <v>0.5188359788359789</v>
      </c>
      <c r="H21" s="8">
        <f>SUM(H8:H20)</f>
        <v>60.56</v>
      </c>
      <c r="I21" s="8">
        <f>60.56/114</f>
        <v>0.5312280701754386</v>
      </c>
    </row>
    <row r="22" spans="1:5" ht="11.25">
      <c r="A22" s="22" t="s">
        <v>19</v>
      </c>
      <c r="B22" s="11">
        <v>17</v>
      </c>
      <c r="C22" s="11">
        <v>10</v>
      </c>
      <c r="D22" s="11">
        <v>16</v>
      </c>
      <c r="E22" s="11">
        <v>9</v>
      </c>
    </row>
    <row r="24" ht="11.25">
      <c r="A24" s="31" t="s">
        <v>33</v>
      </c>
    </row>
    <row r="25" spans="1:9" s="16" customFormat="1" ht="11.25">
      <c r="A25" s="32" t="s">
        <v>0</v>
      </c>
      <c r="B25" s="16" t="s">
        <v>21</v>
      </c>
      <c r="C25" s="16" t="s">
        <v>9</v>
      </c>
      <c r="D25" s="16" t="s">
        <v>10</v>
      </c>
      <c r="E25" s="16" t="s">
        <v>20</v>
      </c>
      <c r="F25" s="16" t="s">
        <v>23</v>
      </c>
      <c r="G25" s="16" t="s">
        <v>26</v>
      </c>
      <c r="H25" s="16" t="s">
        <v>24</v>
      </c>
      <c r="I25" s="16" t="s">
        <v>25</v>
      </c>
    </row>
    <row r="26" spans="1:9" ht="11.25">
      <c r="A26" s="23" t="s">
        <v>4</v>
      </c>
      <c r="B26" s="8">
        <v>4.7</v>
      </c>
      <c r="C26" s="8">
        <v>1.14</v>
      </c>
      <c r="D26" s="8">
        <v>2.5</v>
      </c>
      <c r="E26" s="8">
        <v>2.13</v>
      </c>
      <c r="F26" s="8">
        <v>8.34</v>
      </c>
      <c r="G26" s="8">
        <f>8.34/94.5</f>
        <v>0.08825396825396825</v>
      </c>
      <c r="H26" s="8">
        <v>10.47</v>
      </c>
      <c r="I26" s="8">
        <f>10.47/114</f>
        <v>0.0918421052631579</v>
      </c>
    </row>
    <row r="27" spans="1:9" ht="11.25">
      <c r="A27" s="23" t="s">
        <v>5</v>
      </c>
      <c r="B27" s="8">
        <v>2</v>
      </c>
      <c r="C27" s="8">
        <v>0</v>
      </c>
      <c r="D27" s="8">
        <v>0</v>
      </c>
      <c r="E27" s="8">
        <v>0.38</v>
      </c>
      <c r="F27" s="8">
        <v>2</v>
      </c>
      <c r="G27" s="8">
        <f>2/94.5</f>
        <v>0.021164021164021163</v>
      </c>
      <c r="H27" s="8">
        <v>2.38</v>
      </c>
      <c r="I27" s="8">
        <f>2.38/114</f>
        <v>0.02087719298245614</v>
      </c>
    </row>
    <row r="28" spans="1:9" ht="11.25">
      <c r="A28" s="23" t="s">
        <v>3</v>
      </c>
      <c r="B28" s="8">
        <v>7.1</v>
      </c>
      <c r="C28" s="8">
        <v>2.14</v>
      </c>
      <c r="D28" s="8">
        <v>3.5</v>
      </c>
      <c r="E28" s="8">
        <v>4.25</v>
      </c>
      <c r="F28" s="8">
        <v>12.74</v>
      </c>
      <c r="G28" s="8">
        <f>12.74/94.5</f>
        <v>0.1348148148148148</v>
      </c>
      <c r="H28" s="8">
        <v>16.99</v>
      </c>
      <c r="I28" s="8">
        <f>16.99/114</f>
        <v>0.14903508771929824</v>
      </c>
    </row>
    <row r="29" spans="1:9" ht="11.25">
      <c r="A29" s="23" t="s">
        <v>1</v>
      </c>
      <c r="B29" s="8">
        <v>6.8</v>
      </c>
      <c r="C29" s="8">
        <v>1</v>
      </c>
      <c r="D29" s="8">
        <v>4.5</v>
      </c>
      <c r="E29" s="8">
        <v>9.75</v>
      </c>
      <c r="F29" s="8">
        <v>12.3</v>
      </c>
      <c r="G29" s="8">
        <f>12.3/94.5</f>
        <v>0.13015873015873017</v>
      </c>
      <c r="H29" s="8">
        <v>22.05</v>
      </c>
      <c r="I29" s="8">
        <f>22.05/114</f>
        <v>0.19342105263157897</v>
      </c>
    </row>
    <row r="30" spans="1:9" ht="11.25">
      <c r="A30" s="23" t="s">
        <v>2</v>
      </c>
      <c r="B30" s="8">
        <v>5.3</v>
      </c>
      <c r="C30" s="8">
        <v>1.29</v>
      </c>
      <c r="D30" s="8">
        <v>1.5</v>
      </c>
      <c r="E30" s="8">
        <v>1.25</v>
      </c>
      <c r="F30" s="8">
        <v>8.09</v>
      </c>
      <c r="G30" s="8">
        <f>8.09/94.5</f>
        <v>0.0856084656084656</v>
      </c>
      <c r="H30" s="8">
        <v>9.34</v>
      </c>
      <c r="I30" s="8">
        <f>9.34/114</f>
        <v>0.0819298245614035</v>
      </c>
    </row>
    <row r="31" spans="1:9" ht="11.25">
      <c r="A31" s="23" t="s">
        <v>17</v>
      </c>
      <c r="B31" s="8">
        <v>0</v>
      </c>
      <c r="C31" s="8">
        <v>0</v>
      </c>
      <c r="D31" s="8">
        <v>2.5</v>
      </c>
      <c r="E31" s="8">
        <v>0.88</v>
      </c>
      <c r="F31" s="8">
        <v>2.5</v>
      </c>
      <c r="G31" s="8">
        <f>2.5/94.5</f>
        <v>0.026455026455026454</v>
      </c>
      <c r="H31" s="8">
        <v>3.38</v>
      </c>
      <c r="I31" s="8">
        <f>3.38/114</f>
        <v>0.029649122807017543</v>
      </c>
    </row>
    <row r="32" spans="1:9" ht="11.25">
      <c r="A32" s="23" t="s">
        <v>13</v>
      </c>
      <c r="B32" s="8">
        <v>1.5</v>
      </c>
      <c r="C32" s="8">
        <v>0.14</v>
      </c>
      <c r="D32" s="8">
        <v>0</v>
      </c>
      <c r="E32" s="8">
        <v>0.38</v>
      </c>
      <c r="F32" s="8">
        <v>1.64</v>
      </c>
      <c r="G32" s="8">
        <f>1.64/94.5</f>
        <v>0.017354497354497355</v>
      </c>
      <c r="H32" s="8">
        <v>2.04</v>
      </c>
      <c r="I32" s="8">
        <f>2.04/114</f>
        <v>0.017894736842105262</v>
      </c>
    </row>
    <row r="33" spans="1:9" ht="11.25">
      <c r="A33" s="23" t="s">
        <v>18</v>
      </c>
      <c r="B33" s="8">
        <v>0</v>
      </c>
      <c r="C33" s="8">
        <v>0</v>
      </c>
      <c r="D33" s="8">
        <v>0</v>
      </c>
      <c r="E33" s="8">
        <v>0.25</v>
      </c>
      <c r="F33" s="8">
        <v>0</v>
      </c>
      <c r="G33" s="8">
        <f>0/114</f>
        <v>0</v>
      </c>
      <c r="H33" s="8">
        <v>0.25</v>
      </c>
      <c r="I33" s="8">
        <f>0.25/114</f>
        <v>0.0021929824561403508</v>
      </c>
    </row>
    <row r="34" spans="1:9" ht="11.25">
      <c r="A34" s="23" t="s">
        <v>6</v>
      </c>
      <c r="B34" s="8">
        <v>4.8</v>
      </c>
      <c r="C34" s="8">
        <v>1.29</v>
      </c>
      <c r="D34" s="8">
        <v>2.5</v>
      </c>
      <c r="E34" s="8">
        <v>2.5</v>
      </c>
      <c r="F34" s="8">
        <v>8.59</v>
      </c>
      <c r="G34" s="8">
        <f>8.59/94.5</f>
        <v>0.0908994708994709</v>
      </c>
      <c r="H34" s="8">
        <v>11.09</v>
      </c>
      <c r="I34" s="8">
        <f>11.09/114</f>
        <v>0.09728070175438597</v>
      </c>
    </row>
    <row r="35" spans="1:9" ht="11.25">
      <c r="A35" s="23" t="s">
        <v>7</v>
      </c>
      <c r="B35" s="8">
        <v>0.4</v>
      </c>
      <c r="C35" s="8">
        <v>0</v>
      </c>
      <c r="D35" s="8">
        <v>0</v>
      </c>
      <c r="E35" s="8">
        <v>0.13</v>
      </c>
      <c r="F35" s="8">
        <v>0.4</v>
      </c>
      <c r="G35" s="8">
        <v>0.01</v>
      </c>
      <c r="H35" s="8">
        <v>0.53</v>
      </c>
      <c r="I35" s="8">
        <v>0.01</v>
      </c>
    </row>
    <row r="36" spans="1:9" ht="11.25">
      <c r="A36" s="23" t="s">
        <v>15</v>
      </c>
      <c r="B36" s="8">
        <v>0</v>
      </c>
      <c r="C36" s="8">
        <v>0.14</v>
      </c>
      <c r="D36" s="8">
        <v>0</v>
      </c>
      <c r="E36" s="8">
        <v>0</v>
      </c>
      <c r="F36" s="8">
        <v>0.14</v>
      </c>
      <c r="G36" s="8">
        <f>0.14/94.5</f>
        <v>0.0014814814814814816</v>
      </c>
      <c r="H36" s="8">
        <v>0.14</v>
      </c>
      <c r="I36" s="8">
        <f>0.14/114</f>
        <v>0.0012280701754385965</v>
      </c>
    </row>
    <row r="37" spans="1:9" ht="11.25">
      <c r="A37" s="23" t="s">
        <v>16</v>
      </c>
      <c r="B37" s="8">
        <v>0.5</v>
      </c>
      <c r="C37" s="8">
        <v>0.29</v>
      </c>
      <c r="D37" s="8">
        <v>0.5</v>
      </c>
      <c r="E37" s="8">
        <v>0.13</v>
      </c>
      <c r="F37" s="8">
        <v>1.29</v>
      </c>
      <c r="G37" s="8">
        <f>1.29/94.5</f>
        <v>0.013650793650793651</v>
      </c>
      <c r="H37" s="8">
        <v>1.42</v>
      </c>
      <c r="I37" s="8">
        <f>1.42/114</f>
        <v>0.012456140350877193</v>
      </c>
    </row>
    <row r="38" spans="1:9" ht="11.25">
      <c r="A38" s="23" t="s">
        <v>24</v>
      </c>
      <c r="B38" s="8">
        <f>SUM(B26:B37)</f>
        <v>33.1</v>
      </c>
      <c r="C38" s="8">
        <f>SUM(C26:C37)</f>
        <v>7.43</v>
      </c>
      <c r="D38" s="8">
        <f>SUM(D26:D37)</f>
        <v>17.5</v>
      </c>
      <c r="E38" s="8">
        <f>SUM(E26:E37)</f>
        <v>22.029999999999994</v>
      </c>
      <c r="F38" s="8">
        <f>SUM(F26:F37)</f>
        <v>58.03</v>
      </c>
      <c r="G38" s="8">
        <f>58.03/94.5</f>
        <v>0.6140740740740741</v>
      </c>
      <c r="H38" s="8">
        <f>SUM(H26:H37)</f>
        <v>80.08000000000001</v>
      </c>
      <c r="I38" s="8">
        <f>80.08/114</f>
        <v>0.7024561403508772</v>
      </c>
    </row>
    <row r="39" spans="1:5" ht="11.25">
      <c r="A39" s="22" t="s">
        <v>19</v>
      </c>
      <c r="B39" s="11">
        <v>10</v>
      </c>
      <c r="C39" s="11">
        <v>7</v>
      </c>
      <c r="D39" s="11">
        <v>2</v>
      </c>
      <c r="E39" s="11">
        <v>8</v>
      </c>
    </row>
    <row r="41" ht="11.25">
      <c r="A41" s="31" t="s">
        <v>22</v>
      </c>
    </row>
    <row r="42" spans="1:9" s="16" customFormat="1" ht="11.25">
      <c r="A42" s="32" t="s">
        <v>0</v>
      </c>
      <c r="B42" s="16" t="s">
        <v>21</v>
      </c>
      <c r="C42" s="16" t="s">
        <v>9</v>
      </c>
      <c r="D42" s="16" t="s">
        <v>10</v>
      </c>
      <c r="E42" s="16" t="s">
        <v>20</v>
      </c>
      <c r="F42" s="16" t="s">
        <v>23</v>
      </c>
      <c r="G42" s="16" t="s">
        <v>26</v>
      </c>
      <c r="H42" s="16" t="s">
        <v>24</v>
      </c>
      <c r="I42" s="16" t="s">
        <v>25</v>
      </c>
    </row>
    <row r="43" spans="1:9" ht="11.25">
      <c r="A43" s="23" t="s">
        <v>4</v>
      </c>
      <c r="B43" s="8">
        <v>4.25</v>
      </c>
      <c r="C43" s="8">
        <v>0.8</v>
      </c>
      <c r="D43" s="8">
        <v>1.88</v>
      </c>
      <c r="E43" s="8">
        <v>1</v>
      </c>
      <c r="F43" s="8">
        <v>6.93</v>
      </c>
      <c r="G43" s="8">
        <f>6.93/94.5</f>
        <v>0.07333333333333333</v>
      </c>
      <c r="H43" s="8">
        <v>7.93</v>
      </c>
      <c r="I43" s="8">
        <f>7.93/114</f>
        <v>0.06956140350877192</v>
      </c>
    </row>
    <row r="44" spans="1:9" ht="11.25">
      <c r="A44" s="23" t="s">
        <v>5</v>
      </c>
      <c r="B44" s="8">
        <v>1.5</v>
      </c>
      <c r="C44" s="8">
        <v>0.5</v>
      </c>
      <c r="D44" s="8">
        <v>0</v>
      </c>
      <c r="E44" s="8">
        <v>0</v>
      </c>
      <c r="F44" s="8">
        <v>2</v>
      </c>
      <c r="G44" s="8">
        <f>2/94.5</f>
        <v>0.021164021164021163</v>
      </c>
      <c r="H44" s="8">
        <v>2</v>
      </c>
      <c r="I44" s="8">
        <f>2/114</f>
        <v>0.017543859649122806</v>
      </c>
    </row>
    <row r="45" spans="1:9" ht="11.25">
      <c r="A45" s="23" t="s">
        <v>3</v>
      </c>
      <c r="B45" s="8">
        <v>11.5</v>
      </c>
      <c r="C45" s="8">
        <v>5.75</v>
      </c>
      <c r="D45" s="8">
        <v>5.25</v>
      </c>
      <c r="E45" s="8">
        <v>5.4</v>
      </c>
      <c r="F45" s="8">
        <v>22.5</v>
      </c>
      <c r="G45" s="8">
        <f>22.5/94.5</f>
        <v>0.23809523809523808</v>
      </c>
      <c r="H45" s="8">
        <v>27.9</v>
      </c>
      <c r="I45" s="8">
        <f>27.9/114</f>
        <v>0.24473684210526314</v>
      </c>
    </row>
    <row r="46" spans="1:9" s="8" customFormat="1" ht="11.25">
      <c r="A46" s="23" t="s">
        <v>1</v>
      </c>
      <c r="B46" s="8">
        <v>9.5</v>
      </c>
      <c r="C46" s="8">
        <v>2</v>
      </c>
      <c r="D46" s="8">
        <v>6.63</v>
      </c>
      <c r="E46" s="8">
        <v>8</v>
      </c>
      <c r="F46" s="8">
        <v>18.13</v>
      </c>
      <c r="G46" s="8">
        <f>18.13/94.5</f>
        <v>0.19185185185185183</v>
      </c>
      <c r="H46" s="8">
        <v>26.13</v>
      </c>
      <c r="I46" s="8">
        <f>26.13/114</f>
        <v>0.22921052631578948</v>
      </c>
    </row>
    <row r="47" spans="1:9" ht="11.25">
      <c r="A47" s="23" t="s">
        <v>2</v>
      </c>
      <c r="B47" s="8">
        <v>1.75</v>
      </c>
      <c r="C47" s="8">
        <v>0.5</v>
      </c>
      <c r="D47" s="8">
        <v>1</v>
      </c>
      <c r="E47" s="8">
        <v>0.2</v>
      </c>
      <c r="F47" s="8">
        <v>3.25</v>
      </c>
      <c r="G47" s="8">
        <f>3.25/94.5</f>
        <v>0.03439153439153439</v>
      </c>
      <c r="H47" s="8">
        <v>3.45</v>
      </c>
      <c r="I47" s="8">
        <f>3.45/114</f>
        <v>0.030263157894736843</v>
      </c>
    </row>
    <row r="48" spans="1:9" ht="11.25">
      <c r="A48" s="23" t="s">
        <v>17</v>
      </c>
      <c r="B48" s="8">
        <v>0</v>
      </c>
      <c r="C48" s="8">
        <v>0.25</v>
      </c>
      <c r="D48" s="8">
        <v>2.5</v>
      </c>
      <c r="E48" s="8">
        <v>1.2</v>
      </c>
      <c r="F48" s="8">
        <v>2.75</v>
      </c>
      <c r="G48" s="8">
        <f>2.75/94.5</f>
        <v>0.0291005291005291</v>
      </c>
      <c r="H48" s="8">
        <v>3.95</v>
      </c>
      <c r="I48" s="8">
        <f>3.95/114</f>
        <v>0.03464912280701755</v>
      </c>
    </row>
    <row r="49" spans="1:9" ht="11.25">
      <c r="A49" s="23" t="s">
        <v>13</v>
      </c>
      <c r="B49" s="8">
        <v>1.5</v>
      </c>
      <c r="C49" s="8">
        <v>0.25</v>
      </c>
      <c r="D49" s="8">
        <v>1.75</v>
      </c>
      <c r="E49" s="8">
        <v>0.8</v>
      </c>
      <c r="F49" s="8">
        <v>3.5</v>
      </c>
      <c r="G49" s="8">
        <f>3.5/94.5</f>
        <v>0.037037037037037035</v>
      </c>
      <c r="H49" s="8">
        <v>4.3</v>
      </c>
      <c r="I49" s="8">
        <f>4.3/114</f>
        <v>0.037719298245614034</v>
      </c>
    </row>
    <row r="50" spans="1:9" ht="11.25">
      <c r="A50" s="23" t="s">
        <v>18</v>
      </c>
      <c r="B50" s="8">
        <v>0</v>
      </c>
      <c r="C50" s="8">
        <v>0</v>
      </c>
      <c r="D50" s="8">
        <v>0</v>
      </c>
      <c r="E50" s="8">
        <v>0.2</v>
      </c>
      <c r="F50" s="8">
        <v>0</v>
      </c>
      <c r="G50" s="8">
        <v>0</v>
      </c>
      <c r="H50" s="8">
        <v>0.2</v>
      </c>
      <c r="I50" s="8">
        <f>0.2/114</f>
        <v>0.0017543859649122807</v>
      </c>
    </row>
    <row r="51" spans="1:9" ht="11.25">
      <c r="A51" s="23" t="s">
        <v>6</v>
      </c>
      <c r="B51" s="8">
        <v>4.75</v>
      </c>
      <c r="C51" s="8">
        <v>3.25</v>
      </c>
      <c r="D51" s="8">
        <v>1.63</v>
      </c>
      <c r="E51" s="8">
        <v>1.6</v>
      </c>
      <c r="F51" s="8">
        <v>9.63</v>
      </c>
      <c r="G51" s="8">
        <f>9.63/94.5</f>
        <v>0.10190476190476191</v>
      </c>
      <c r="H51" s="8">
        <v>11.23</v>
      </c>
      <c r="I51" s="8">
        <f>11.23/114</f>
        <v>0.09850877192982456</v>
      </c>
    </row>
    <row r="52" spans="1:9" ht="11.25">
      <c r="A52" s="23" t="s">
        <v>7</v>
      </c>
      <c r="B52" s="8">
        <v>0</v>
      </c>
      <c r="C52" s="8">
        <v>0.25</v>
      </c>
      <c r="D52" s="8">
        <v>0.25</v>
      </c>
      <c r="E52" s="8">
        <v>0.6</v>
      </c>
      <c r="F52" s="8">
        <v>0.5</v>
      </c>
      <c r="G52" s="8">
        <f>0.5/94.5</f>
        <v>0.005291005291005291</v>
      </c>
      <c r="H52" s="8">
        <v>1.1</v>
      </c>
      <c r="I52" s="8">
        <f>1.1/114</f>
        <v>0.009649122807017544</v>
      </c>
    </row>
    <row r="53" spans="1:9" ht="11.25">
      <c r="A53" s="23" t="s">
        <v>15</v>
      </c>
      <c r="B53" s="8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</row>
    <row r="54" spans="1:9" ht="11.25">
      <c r="A54" s="23" t="s">
        <v>16</v>
      </c>
      <c r="B54" s="8">
        <v>0</v>
      </c>
      <c r="C54" s="8">
        <v>0</v>
      </c>
      <c r="D54" s="8">
        <v>0.5</v>
      </c>
      <c r="E54" s="8">
        <v>0.2</v>
      </c>
      <c r="F54" s="8">
        <v>0.7</v>
      </c>
      <c r="G54" s="8">
        <f>0.7/94.5</f>
        <v>0.007407407407407407</v>
      </c>
      <c r="H54" s="8">
        <v>0.7</v>
      </c>
      <c r="I54" s="8">
        <v>0.01</v>
      </c>
    </row>
    <row r="55" spans="1:9" ht="11.25">
      <c r="A55" s="23" t="s">
        <v>24</v>
      </c>
      <c r="B55" s="8">
        <f>SUM(B43:B54)</f>
        <v>34.75</v>
      </c>
      <c r="C55" s="8">
        <f>SUM(C43:C54)</f>
        <v>13.55</v>
      </c>
      <c r="D55" s="8">
        <f>SUM(D43:D54)</f>
        <v>21.389999999999997</v>
      </c>
      <c r="E55" s="8">
        <f>SUM(E43:E54)</f>
        <v>19.2</v>
      </c>
      <c r="F55" s="8">
        <f>SUM(F43:F54)</f>
        <v>69.89</v>
      </c>
      <c r="G55" s="8">
        <f>69.89/94.5</f>
        <v>0.7395767195767196</v>
      </c>
      <c r="H55" s="8">
        <f>SUM(H43:H54)</f>
        <v>88.89</v>
      </c>
      <c r="I55" s="8">
        <f>88.89/114</f>
        <v>0.7797368421052632</v>
      </c>
    </row>
    <row r="56" spans="1:5" ht="11.25">
      <c r="A56" s="22" t="s">
        <v>19</v>
      </c>
      <c r="B56" s="11">
        <v>4</v>
      </c>
      <c r="C56" s="11">
        <v>4</v>
      </c>
      <c r="D56" s="11">
        <v>8</v>
      </c>
      <c r="E56" s="11">
        <v>5</v>
      </c>
    </row>
    <row r="58" ht="11.25">
      <c r="A58" s="31" t="s">
        <v>34</v>
      </c>
    </row>
    <row r="59" spans="1:9" s="16" customFormat="1" ht="11.25">
      <c r="A59" s="32" t="s">
        <v>0</v>
      </c>
      <c r="B59" s="16" t="s">
        <v>21</v>
      </c>
      <c r="C59" s="16" t="s">
        <v>9</v>
      </c>
      <c r="D59" s="16" t="s">
        <v>10</v>
      </c>
      <c r="E59" s="16" t="s">
        <v>20</v>
      </c>
      <c r="F59" s="16" t="s">
        <v>23</v>
      </c>
      <c r="G59" s="16" t="s">
        <v>26</v>
      </c>
      <c r="H59" s="16" t="s">
        <v>24</v>
      </c>
      <c r="I59" s="16" t="s">
        <v>25</v>
      </c>
    </row>
    <row r="60" spans="1:9" ht="11.25">
      <c r="A60" s="23" t="s">
        <v>4</v>
      </c>
      <c r="B60" s="8" t="s">
        <v>14</v>
      </c>
      <c r="C60" s="8">
        <v>2.6</v>
      </c>
      <c r="D60" s="8" t="s">
        <v>14</v>
      </c>
      <c r="E60" s="8">
        <v>4</v>
      </c>
      <c r="F60" s="8">
        <v>2.6</v>
      </c>
      <c r="G60" s="8">
        <f>2.5/19</f>
        <v>0.13157894736842105</v>
      </c>
      <c r="H60" s="8">
        <v>6.6</v>
      </c>
      <c r="I60" s="8">
        <f>6.6/38.5</f>
        <v>0.17142857142857143</v>
      </c>
    </row>
    <row r="61" spans="1:9" ht="11.25">
      <c r="A61" s="24" t="s">
        <v>5</v>
      </c>
      <c r="B61" s="25"/>
      <c r="C61" s="8">
        <v>0</v>
      </c>
      <c r="D61" s="8"/>
      <c r="E61" s="8">
        <v>0</v>
      </c>
      <c r="F61" s="8">
        <v>0</v>
      </c>
      <c r="G61" s="8">
        <v>0</v>
      </c>
      <c r="H61" s="8">
        <v>0</v>
      </c>
      <c r="I61" s="8">
        <v>0</v>
      </c>
    </row>
    <row r="62" spans="1:9" ht="11.25">
      <c r="A62" s="23" t="s">
        <v>3</v>
      </c>
      <c r="B62" s="8"/>
      <c r="C62" s="8">
        <v>4.6</v>
      </c>
      <c r="E62" s="8">
        <v>2</v>
      </c>
      <c r="F62" s="8">
        <v>4.6</v>
      </c>
      <c r="G62" s="8">
        <f>4.6/19</f>
        <v>0.2421052631578947</v>
      </c>
      <c r="H62" s="8">
        <v>6.6</v>
      </c>
      <c r="I62" s="8">
        <f>6.6/38.5</f>
        <v>0.17142857142857143</v>
      </c>
    </row>
    <row r="63" spans="1:9" ht="11.25">
      <c r="A63" s="22" t="s">
        <v>1</v>
      </c>
      <c r="C63" s="11">
        <v>3.2</v>
      </c>
      <c r="E63" s="8">
        <v>4.5</v>
      </c>
      <c r="F63" s="8">
        <v>3.2</v>
      </c>
      <c r="G63" s="8">
        <f>3.2/19</f>
        <v>0.16842105263157894</v>
      </c>
      <c r="H63" s="8">
        <v>7.7</v>
      </c>
      <c r="I63" s="8">
        <f>7.7/38.5</f>
        <v>0.2</v>
      </c>
    </row>
    <row r="64" spans="1:9" ht="11.25">
      <c r="A64" s="22" t="s">
        <v>2</v>
      </c>
      <c r="C64" s="11">
        <v>1.1</v>
      </c>
      <c r="E64" s="8">
        <v>2</v>
      </c>
      <c r="F64" s="8">
        <v>1.1</v>
      </c>
      <c r="G64" s="8">
        <f>1/19</f>
        <v>0.05263157894736842</v>
      </c>
      <c r="H64" s="8">
        <v>3</v>
      </c>
      <c r="I64" s="8">
        <f>3/38.5</f>
        <v>0.07792207792207792</v>
      </c>
    </row>
    <row r="65" spans="1:9" ht="11.25">
      <c r="A65" s="22" t="s">
        <v>17</v>
      </c>
      <c r="C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</row>
    <row r="66" spans="1:9" ht="11.25">
      <c r="A66" s="22" t="s">
        <v>13</v>
      </c>
      <c r="C66" s="11">
        <v>0</v>
      </c>
      <c r="E66" s="8">
        <v>1</v>
      </c>
      <c r="F66" s="8">
        <v>0</v>
      </c>
      <c r="G66" s="8">
        <v>0</v>
      </c>
      <c r="H66" s="8">
        <v>1</v>
      </c>
      <c r="I66" s="8">
        <f>1/38.5</f>
        <v>0.025974025974025976</v>
      </c>
    </row>
    <row r="67" spans="1:9" ht="11.25">
      <c r="A67" s="22" t="s">
        <v>18</v>
      </c>
      <c r="C67" s="11">
        <v>0</v>
      </c>
      <c r="E67" s="8">
        <v>0.5</v>
      </c>
      <c r="F67" s="8">
        <v>0</v>
      </c>
      <c r="G67" s="8">
        <v>0</v>
      </c>
      <c r="H67" s="8">
        <v>0.5</v>
      </c>
      <c r="I67" s="8">
        <f>0.5/38.5</f>
        <v>0.012987012987012988</v>
      </c>
    </row>
    <row r="68" spans="1:9" ht="11.25">
      <c r="A68" s="22" t="s">
        <v>6</v>
      </c>
      <c r="C68" s="11">
        <v>2</v>
      </c>
      <c r="E68" s="8">
        <v>0.5</v>
      </c>
      <c r="F68" s="8">
        <v>2</v>
      </c>
      <c r="G68" s="8">
        <f>2/19</f>
        <v>0.10526315789473684</v>
      </c>
      <c r="H68" s="8">
        <v>2.5</v>
      </c>
      <c r="I68" s="8">
        <f>2.5/38.5</f>
        <v>0.06493506493506493</v>
      </c>
    </row>
    <row r="69" spans="1:9" ht="11.25">
      <c r="A69" s="22" t="s">
        <v>7</v>
      </c>
      <c r="C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</row>
    <row r="70" spans="1:9" ht="11.25">
      <c r="A70" s="22" t="s">
        <v>15</v>
      </c>
      <c r="C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</row>
    <row r="71" spans="1:9" ht="11.25">
      <c r="A71" s="22" t="s">
        <v>16</v>
      </c>
      <c r="C71" s="11">
        <v>0</v>
      </c>
      <c r="E71" s="8">
        <v>1.5</v>
      </c>
      <c r="F71" s="8">
        <v>0</v>
      </c>
      <c r="G71" s="8">
        <v>0</v>
      </c>
      <c r="H71" s="8">
        <v>1.5</v>
      </c>
      <c r="I71" s="8">
        <f>1.5/38.5</f>
        <v>0.03896103896103896</v>
      </c>
    </row>
    <row r="72" spans="1:9" ht="11.25">
      <c r="A72" s="22" t="s">
        <v>24</v>
      </c>
      <c r="C72" s="8">
        <f>SUM(C60:C71)</f>
        <v>13.499999999999998</v>
      </c>
      <c r="E72" s="8">
        <f>SUM(E60:E71)</f>
        <v>16</v>
      </c>
      <c r="F72" s="8">
        <f>SUM(F60:F71)</f>
        <v>13.499999999999998</v>
      </c>
      <c r="G72" s="8">
        <f>SUM(G60:G71)</f>
        <v>0.6999999999999998</v>
      </c>
      <c r="H72" s="8">
        <f>SUM(H60:H71)</f>
        <v>29.4</v>
      </c>
      <c r="I72" s="8">
        <f>SUM(I60:I71)</f>
        <v>0.7636363636363638</v>
      </c>
    </row>
    <row r="73" spans="1:5" ht="11.25">
      <c r="A73" s="22" t="s">
        <v>19</v>
      </c>
      <c r="C73" s="11">
        <v>5</v>
      </c>
      <c r="E73" s="11">
        <v>2</v>
      </c>
    </row>
    <row r="75" ht="11.25">
      <c r="A75" s="31" t="s">
        <v>35</v>
      </c>
    </row>
    <row r="76" spans="1:10" s="16" customFormat="1" ht="11.25">
      <c r="A76" s="32" t="s">
        <v>0</v>
      </c>
      <c r="B76" s="16" t="s">
        <v>21</v>
      </c>
      <c r="C76" s="16" t="s">
        <v>9</v>
      </c>
      <c r="D76" s="16" t="s">
        <v>10</v>
      </c>
      <c r="E76" s="16" t="s">
        <v>20</v>
      </c>
      <c r="F76" s="16" t="s">
        <v>11</v>
      </c>
      <c r="G76" s="16" t="s">
        <v>23</v>
      </c>
      <c r="H76" s="16" t="s">
        <v>26</v>
      </c>
      <c r="I76" s="16" t="s">
        <v>24</v>
      </c>
      <c r="J76" s="16" t="s">
        <v>25</v>
      </c>
    </row>
    <row r="77" spans="1:10" ht="11.25">
      <c r="A77" s="23" t="s">
        <v>4</v>
      </c>
      <c r="B77" s="8">
        <v>5.96</v>
      </c>
      <c r="C77" s="8">
        <v>2.38</v>
      </c>
      <c r="D77" s="8">
        <v>2.38</v>
      </c>
      <c r="E77" s="8">
        <v>3.71</v>
      </c>
      <c r="F77" s="8">
        <v>0</v>
      </c>
      <c r="G77" s="8">
        <v>10.72</v>
      </c>
      <c r="H77" s="8">
        <f>10.72/94.5</f>
        <v>0.11343915343915345</v>
      </c>
      <c r="I77" s="8">
        <v>14.43</v>
      </c>
      <c r="J77" s="8">
        <f>14.43/144</f>
        <v>0.10020833333333333</v>
      </c>
    </row>
    <row r="78" spans="1:10" ht="11.25">
      <c r="A78" s="23" t="s">
        <v>5</v>
      </c>
      <c r="B78" s="8">
        <v>0.52</v>
      </c>
      <c r="C78" s="8">
        <v>0.25</v>
      </c>
      <c r="D78" s="8">
        <v>0.25</v>
      </c>
      <c r="E78" s="8">
        <v>0.14</v>
      </c>
      <c r="F78" s="8">
        <v>0.11</v>
      </c>
      <c r="G78" s="8">
        <v>1.02</v>
      </c>
      <c r="H78" s="8">
        <f>1.02/94.5</f>
        <v>0.010793650793650795</v>
      </c>
      <c r="I78" s="8">
        <v>1.27</v>
      </c>
      <c r="J78" s="8">
        <f>1.27/144</f>
        <v>0.008819444444444444</v>
      </c>
    </row>
    <row r="79" spans="1:10" ht="11.25">
      <c r="A79" s="23" t="s">
        <v>3</v>
      </c>
      <c r="B79" s="8">
        <v>5.48</v>
      </c>
      <c r="C79" s="8">
        <v>3.75</v>
      </c>
      <c r="D79" s="8">
        <v>7.5</v>
      </c>
      <c r="E79" s="8">
        <v>4</v>
      </c>
      <c r="F79" s="8">
        <v>2.56</v>
      </c>
      <c r="G79" s="8">
        <v>16.73</v>
      </c>
      <c r="H79" s="8">
        <f>16.73/94.5</f>
        <v>0.17703703703703705</v>
      </c>
      <c r="I79" s="8">
        <v>23.29</v>
      </c>
      <c r="J79" s="8">
        <f>23.29/144</f>
        <v>0.1617361111111111</v>
      </c>
    </row>
    <row r="80" spans="1:10" ht="11.25">
      <c r="A80" s="23" t="s">
        <v>1</v>
      </c>
      <c r="B80" s="8">
        <v>4.7</v>
      </c>
      <c r="C80" s="8">
        <v>2.31</v>
      </c>
      <c r="D80" s="8">
        <v>6.63</v>
      </c>
      <c r="E80" s="8">
        <v>8.57</v>
      </c>
      <c r="F80" s="8">
        <v>1</v>
      </c>
      <c r="G80" s="8">
        <v>13.64</v>
      </c>
      <c r="H80" s="8">
        <f>13.64/94.5</f>
        <v>0.14433862433862435</v>
      </c>
      <c r="I80" s="8">
        <v>23.21</v>
      </c>
      <c r="J80" s="8">
        <f>23.21/144</f>
        <v>0.16118055555555555</v>
      </c>
    </row>
    <row r="81" spans="1:10" ht="11.25">
      <c r="A81" s="23" t="s">
        <v>2</v>
      </c>
      <c r="B81" s="8">
        <v>1.81</v>
      </c>
      <c r="C81" s="8">
        <v>1.44</v>
      </c>
      <c r="D81" s="8">
        <v>1.75</v>
      </c>
      <c r="E81" s="8">
        <v>0.14</v>
      </c>
      <c r="F81" s="8">
        <v>0.33</v>
      </c>
      <c r="G81" s="8">
        <v>5</v>
      </c>
      <c r="H81" s="8">
        <f>5/94.5</f>
        <v>0.05291005291005291</v>
      </c>
      <c r="I81" s="8">
        <v>5.47</v>
      </c>
      <c r="J81" s="8">
        <f>5.47/144</f>
        <v>0.03798611111111111</v>
      </c>
    </row>
    <row r="82" spans="1:10" ht="11.25">
      <c r="A82" s="23" t="s">
        <v>17</v>
      </c>
      <c r="B82" s="8">
        <v>1.15</v>
      </c>
      <c r="C82" s="8">
        <v>0</v>
      </c>
      <c r="D82" s="8">
        <v>0.75</v>
      </c>
      <c r="E82" s="8">
        <v>0.71</v>
      </c>
      <c r="F82" s="8">
        <v>0.22</v>
      </c>
      <c r="G82" s="8">
        <v>1.9</v>
      </c>
      <c r="H82" s="8">
        <f>1.9/94.5</f>
        <v>0.020105820105820106</v>
      </c>
      <c r="I82" s="8">
        <v>2.83</v>
      </c>
      <c r="J82" s="8">
        <f>2.83/144</f>
        <v>0.01965277777777778</v>
      </c>
    </row>
    <row r="83" spans="1:10" ht="11.25">
      <c r="A83" s="23" t="s">
        <v>13</v>
      </c>
      <c r="B83" s="8">
        <v>4.77</v>
      </c>
      <c r="C83" s="8">
        <v>0.94</v>
      </c>
      <c r="D83" s="8">
        <v>1.63</v>
      </c>
      <c r="E83" s="8">
        <v>0.71</v>
      </c>
      <c r="F83" s="8">
        <v>0</v>
      </c>
      <c r="G83" s="8">
        <v>8.34</v>
      </c>
      <c r="H83" s="8">
        <f>8.34/94.5</f>
        <v>0.08825396825396825</v>
      </c>
      <c r="I83" s="8">
        <v>9.05</v>
      </c>
      <c r="J83" s="8">
        <f>9.05/144</f>
        <v>0.06284722222222222</v>
      </c>
    </row>
    <row r="84" spans="1:10" ht="11.25">
      <c r="A84" s="23" t="s">
        <v>18</v>
      </c>
      <c r="B84" s="8">
        <v>0.22</v>
      </c>
      <c r="C84" s="8">
        <v>0.06</v>
      </c>
      <c r="D84" s="8">
        <v>0</v>
      </c>
      <c r="E84" s="8">
        <v>0.14</v>
      </c>
      <c r="F84" s="8">
        <v>0</v>
      </c>
      <c r="G84" s="8">
        <v>0.28</v>
      </c>
      <c r="H84" s="8">
        <f>0.28/94.5</f>
        <v>0.0029629629629629632</v>
      </c>
      <c r="I84" s="8">
        <v>0.42</v>
      </c>
      <c r="J84" s="8">
        <f>0.42/144</f>
        <v>0.0029166666666666664</v>
      </c>
    </row>
    <row r="85" spans="1:10" ht="11.25">
      <c r="A85" s="23" t="s">
        <v>6</v>
      </c>
      <c r="B85" s="8">
        <v>3.7</v>
      </c>
      <c r="C85" s="8">
        <v>2</v>
      </c>
      <c r="D85" s="8">
        <v>1.5</v>
      </c>
      <c r="E85" s="8">
        <v>1.71</v>
      </c>
      <c r="F85" s="8">
        <v>4.44</v>
      </c>
      <c r="G85" s="8">
        <v>7.2</v>
      </c>
      <c r="H85" s="8">
        <f>7.2/94.5</f>
        <v>0.0761904761904762</v>
      </c>
      <c r="I85" s="8">
        <v>13.35</v>
      </c>
      <c r="J85" s="8">
        <f>13.35/144</f>
        <v>0.09270833333333334</v>
      </c>
    </row>
    <row r="86" spans="1:10" ht="11.25">
      <c r="A86" s="23" t="s">
        <v>7</v>
      </c>
      <c r="B86" s="8">
        <v>0.15</v>
      </c>
      <c r="C86" s="8">
        <v>0.06</v>
      </c>
      <c r="D86" s="8">
        <v>0.25</v>
      </c>
      <c r="E86" s="8">
        <v>0.14</v>
      </c>
      <c r="F86" s="8">
        <v>0.11</v>
      </c>
      <c r="G86" s="8">
        <v>0.46</v>
      </c>
      <c r="H86" s="8">
        <f>0.46/94.5</f>
        <v>0.004867724867724868</v>
      </c>
      <c r="I86" s="8">
        <v>0.71</v>
      </c>
      <c r="J86" s="8">
        <f>0.71/144</f>
        <v>0.004930555555555555</v>
      </c>
    </row>
    <row r="87" spans="1:10" ht="11.25">
      <c r="A87" s="23" t="s">
        <v>15</v>
      </c>
      <c r="B87" s="8">
        <v>0.07</v>
      </c>
      <c r="C87" s="8">
        <v>0</v>
      </c>
      <c r="D87" s="8">
        <v>0</v>
      </c>
      <c r="E87" s="8">
        <v>0</v>
      </c>
      <c r="F87" s="8">
        <v>0</v>
      </c>
      <c r="G87" s="8">
        <v>0.07</v>
      </c>
      <c r="H87" s="8">
        <f>0.07/94.5</f>
        <v>0.0007407407407407408</v>
      </c>
      <c r="I87" s="8">
        <v>0.07</v>
      </c>
      <c r="J87" s="8">
        <f>0.07/144</f>
        <v>0.00048611111111111115</v>
      </c>
    </row>
    <row r="88" spans="1:10" ht="11.25">
      <c r="A88" s="23" t="s">
        <v>16</v>
      </c>
      <c r="B88" s="8">
        <v>0.66</v>
      </c>
      <c r="C88" s="8">
        <v>0.43</v>
      </c>
      <c r="D88" s="8">
        <v>0</v>
      </c>
      <c r="E88" s="8">
        <v>1.43</v>
      </c>
      <c r="F88" s="8">
        <v>0.11</v>
      </c>
      <c r="G88" s="8">
        <v>1.09</v>
      </c>
      <c r="H88" s="8">
        <f>1.09/94.5</f>
        <v>0.011534391534391536</v>
      </c>
      <c r="I88" s="8">
        <v>2.63</v>
      </c>
      <c r="J88" s="8">
        <f>2.63/144</f>
        <v>0.01826388888888889</v>
      </c>
    </row>
    <row r="89" spans="1:10" ht="11.25">
      <c r="A89" s="23" t="s">
        <v>24</v>
      </c>
      <c r="B89" s="8">
        <f aca="true" t="shared" si="0" ref="B89:G89">SUM(B77:B88)</f>
        <v>29.189999999999994</v>
      </c>
      <c r="C89" s="8">
        <f t="shared" si="0"/>
        <v>13.62</v>
      </c>
      <c r="D89" s="8">
        <f t="shared" si="0"/>
        <v>22.639999999999997</v>
      </c>
      <c r="E89" s="8">
        <f t="shared" si="0"/>
        <v>21.400000000000006</v>
      </c>
      <c r="F89" s="8">
        <f t="shared" si="0"/>
        <v>8.879999999999999</v>
      </c>
      <c r="G89" s="8">
        <f t="shared" si="0"/>
        <v>66.44999999999999</v>
      </c>
      <c r="H89" s="8">
        <f>66.45/94.5</f>
        <v>0.7031746031746032</v>
      </c>
      <c r="I89" s="8">
        <f>SUM(I77:I88)</f>
        <v>96.72999999999998</v>
      </c>
      <c r="J89" s="8">
        <f>96.73/144</f>
        <v>0.6717361111111111</v>
      </c>
    </row>
    <row r="90" spans="1:6" ht="11.25">
      <c r="A90" s="22" t="s">
        <v>19</v>
      </c>
      <c r="B90" s="11">
        <v>27</v>
      </c>
      <c r="C90" s="11">
        <v>16</v>
      </c>
      <c r="D90" s="11">
        <v>8</v>
      </c>
      <c r="E90" s="11">
        <v>7</v>
      </c>
      <c r="F90" s="11">
        <v>9</v>
      </c>
    </row>
    <row r="92" ht="11.25">
      <c r="A92" s="31" t="s">
        <v>36</v>
      </c>
    </row>
    <row r="93" spans="1:10" s="16" customFormat="1" ht="11.25">
      <c r="A93" s="32" t="s">
        <v>0</v>
      </c>
      <c r="B93" s="16" t="s">
        <v>21</v>
      </c>
      <c r="C93" s="16" t="s">
        <v>9</v>
      </c>
      <c r="D93" s="16" t="s">
        <v>10</v>
      </c>
      <c r="E93" s="16" t="s">
        <v>20</v>
      </c>
      <c r="F93" s="16" t="s">
        <v>11</v>
      </c>
      <c r="G93" s="16" t="s">
        <v>23</v>
      </c>
      <c r="H93" s="16" t="s">
        <v>26</v>
      </c>
      <c r="I93" s="16" t="s">
        <v>24</v>
      </c>
      <c r="J93" s="16" t="s">
        <v>25</v>
      </c>
    </row>
    <row r="94" spans="1:10" ht="11.25">
      <c r="A94" s="23" t="s">
        <v>4</v>
      </c>
      <c r="B94" s="8">
        <f>129/22</f>
        <v>5.863636363636363</v>
      </c>
      <c r="C94" s="8">
        <f>23/16</f>
        <v>1.4375</v>
      </c>
      <c r="D94" s="8">
        <v>0.8</v>
      </c>
      <c r="E94" s="8">
        <v>1</v>
      </c>
      <c r="F94" s="8">
        <f>14/6</f>
        <v>2.3333333333333335</v>
      </c>
      <c r="G94" s="8">
        <f aca="true" t="shared" si="1" ref="G94:G103">SUM(B94:D94)</f>
        <v>8.101136363636364</v>
      </c>
      <c r="H94" s="8">
        <f>8.1/94.5</f>
        <v>0.08571428571428572</v>
      </c>
      <c r="I94" s="8">
        <f aca="true" t="shared" si="2" ref="I94:I103">SUM(B94:F94)</f>
        <v>11.434469696969698</v>
      </c>
      <c r="J94" s="8">
        <f>11.43/144</f>
        <v>0.079375</v>
      </c>
    </row>
    <row r="95" spans="1:10" ht="11.25">
      <c r="A95" s="23" t="s">
        <v>5</v>
      </c>
      <c r="B95" s="8">
        <f>13/22</f>
        <v>0.5909090909090909</v>
      </c>
      <c r="C95" s="8">
        <f>6/16</f>
        <v>0.375</v>
      </c>
      <c r="D95" s="8">
        <v>0.2</v>
      </c>
      <c r="E95" s="8">
        <v>0</v>
      </c>
      <c r="F95" s="8">
        <v>0</v>
      </c>
      <c r="G95" s="8">
        <f t="shared" si="1"/>
        <v>1.165909090909091</v>
      </c>
      <c r="H95" s="8">
        <f>1.16/94.5</f>
        <v>0.012275132275132274</v>
      </c>
      <c r="I95" s="8">
        <f t="shared" si="2"/>
        <v>1.165909090909091</v>
      </c>
      <c r="J95" s="8">
        <f>1.16/144</f>
        <v>0.008055555555555555</v>
      </c>
    </row>
    <row r="96" spans="1:10" ht="11.25">
      <c r="A96" s="23" t="s">
        <v>3</v>
      </c>
      <c r="B96" s="8">
        <f>124/22</f>
        <v>5.636363636363637</v>
      </c>
      <c r="C96" s="8">
        <f>59/16</f>
        <v>3.6875</v>
      </c>
      <c r="D96" s="8">
        <v>4</v>
      </c>
      <c r="E96" s="8">
        <f>14/8</f>
        <v>1.75</v>
      </c>
      <c r="F96" s="8">
        <f>28/6</f>
        <v>4.666666666666667</v>
      </c>
      <c r="G96" s="8">
        <f t="shared" si="1"/>
        <v>13.323863636363637</v>
      </c>
      <c r="H96" s="8">
        <f>13.32/94.5</f>
        <v>0.14095238095238097</v>
      </c>
      <c r="I96" s="8">
        <f t="shared" si="2"/>
        <v>19.740530303030305</v>
      </c>
      <c r="J96" s="8">
        <f>19.74/144</f>
        <v>0.13708333333333333</v>
      </c>
    </row>
    <row r="97" spans="1:10" ht="11.25">
      <c r="A97" s="23" t="s">
        <v>1</v>
      </c>
      <c r="B97" s="8">
        <f>84/22</f>
        <v>3.8181818181818183</v>
      </c>
      <c r="C97" s="8">
        <f>30/16</f>
        <v>1.875</v>
      </c>
      <c r="D97" s="8">
        <v>0.7</v>
      </c>
      <c r="E97" s="8">
        <f>15/8</f>
        <v>1.875</v>
      </c>
      <c r="F97" s="8">
        <f>12/6</f>
        <v>2</v>
      </c>
      <c r="G97" s="8">
        <f t="shared" si="1"/>
        <v>6.3931818181818185</v>
      </c>
      <c r="H97" s="8">
        <f>6.39/94.5</f>
        <v>0.06761904761904762</v>
      </c>
      <c r="I97" s="8">
        <f t="shared" si="2"/>
        <v>10.26818181818182</v>
      </c>
      <c r="J97" s="8">
        <f>10.26/144</f>
        <v>0.07125</v>
      </c>
    </row>
    <row r="98" spans="1:10" ht="11.25">
      <c r="A98" s="23" t="s">
        <v>2</v>
      </c>
      <c r="B98" s="8">
        <f>46/22</f>
        <v>2.090909090909091</v>
      </c>
      <c r="C98" s="8">
        <f>36/16</f>
        <v>2.25</v>
      </c>
      <c r="D98" s="8">
        <v>2</v>
      </c>
      <c r="E98" s="8">
        <f>3/8</f>
        <v>0.375</v>
      </c>
      <c r="F98" s="8">
        <v>1</v>
      </c>
      <c r="G98" s="8">
        <f t="shared" si="1"/>
        <v>6.340909090909091</v>
      </c>
      <c r="H98" s="8">
        <f>6.34/94.5</f>
        <v>0.06708994708994709</v>
      </c>
      <c r="I98" s="8">
        <f t="shared" si="2"/>
        <v>7.715909090909091</v>
      </c>
      <c r="J98" s="8">
        <f>7.71/144</f>
        <v>0.05354166666666667</v>
      </c>
    </row>
    <row r="99" spans="1:10" ht="11.25">
      <c r="A99" s="23" t="s">
        <v>17</v>
      </c>
      <c r="B99" s="8">
        <f>22/22</f>
        <v>1</v>
      </c>
      <c r="C99" s="8">
        <f>5/16</f>
        <v>0.3125</v>
      </c>
      <c r="D99" s="8">
        <v>0.4</v>
      </c>
      <c r="E99" s="8">
        <f>2/8</f>
        <v>0.25</v>
      </c>
      <c r="F99" s="8">
        <f>8/6</f>
        <v>1.3333333333333333</v>
      </c>
      <c r="G99" s="8">
        <f t="shared" si="1"/>
        <v>1.7125</v>
      </c>
      <c r="H99" s="8">
        <f>1.71/94.5</f>
        <v>0.018095238095238095</v>
      </c>
      <c r="I99" s="8">
        <f t="shared" si="2"/>
        <v>3.2958333333333334</v>
      </c>
      <c r="J99" s="8">
        <f>3.29/144</f>
        <v>0.022847222222222224</v>
      </c>
    </row>
    <row r="100" spans="1:10" ht="11.25">
      <c r="A100" s="23" t="s">
        <v>13</v>
      </c>
      <c r="B100" s="8">
        <f>39/22</f>
        <v>1.7727272727272727</v>
      </c>
      <c r="C100" s="8">
        <f>11/16</f>
        <v>0.6875</v>
      </c>
      <c r="D100" s="8">
        <v>2</v>
      </c>
      <c r="E100" s="8">
        <f>3/8</f>
        <v>0.375</v>
      </c>
      <c r="F100" s="8">
        <f>1/6</f>
        <v>0.16666666666666666</v>
      </c>
      <c r="G100" s="8">
        <f t="shared" si="1"/>
        <v>4.4602272727272725</v>
      </c>
      <c r="H100" s="8">
        <f>4.46/94.5</f>
        <v>0.047195767195767194</v>
      </c>
      <c r="I100" s="8">
        <f t="shared" si="2"/>
        <v>5.0018939393939394</v>
      </c>
      <c r="J100" s="8">
        <f>5/144</f>
        <v>0.034722222222222224</v>
      </c>
    </row>
    <row r="101" spans="1:10" ht="11.25">
      <c r="A101" s="23" t="s">
        <v>18</v>
      </c>
      <c r="B101" s="8">
        <f>3/22</f>
        <v>0.13636363636363635</v>
      </c>
      <c r="C101" s="8">
        <f>1/16</f>
        <v>0.0625</v>
      </c>
      <c r="D101" s="8">
        <v>0</v>
      </c>
      <c r="E101" s="8">
        <f>1/8</f>
        <v>0.125</v>
      </c>
      <c r="F101" s="8">
        <v>0</v>
      </c>
      <c r="G101" s="8">
        <f t="shared" si="1"/>
        <v>0.19886363636363635</v>
      </c>
      <c r="H101" s="8">
        <f>0.19/94.5</f>
        <v>0.0020105820105820104</v>
      </c>
      <c r="I101" s="8">
        <f t="shared" si="2"/>
        <v>0.32386363636363635</v>
      </c>
      <c r="J101" s="8">
        <f>0.32/144</f>
        <v>0.0022222222222222222</v>
      </c>
    </row>
    <row r="102" spans="1:10" ht="11.25">
      <c r="A102" s="23" t="s">
        <v>6</v>
      </c>
      <c r="B102" s="8">
        <f>85/22</f>
        <v>3.8636363636363638</v>
      </c>
      <c r="C102" s="8">
        <f>36/16</f>
        <v>2.25</v>
      </c>
      <c r="D102" s="8">
        <v>2.2</v>
      </c>
      <c r="E102" s="8">
        <f>12/8</f>
        <v>1.5</v>
      </c>
      <c r="F102" s="8">
        <f>43/6</f>
        <v>7.166666666666667</v>
      </c>
      <c r="G102" s="8">
        <f t="shared" si="1"/>
        <v>8.313636363636363</v>
      </c>
      <c r="H102" s="8">
        <f>8.31/94.5</f>
        <v>0.08793650793650794</v>
      </c>
      <c r="I102" s="8">
        <f t="shared" si="2"/>
        <v>16.98030303030303</v>
      </c>
      <c r="J102" s="8">
        <f>16.9/144</f>
        <v>0.1173611111111111</v>
      </c>
    </row>
    <row r="103" spans="1:10" ht="11.25">
      <c r="A103" s="23" t="s">
        <v>7</v>
      </c>
      <c r="B103" s="8">
        <f>6/22</f>
        <v>0.2727272727272727</v>
      </c>
      <c r="C103" s="8">
        <f>3/16</f>
        <v>0.1875</v>
      </c>
      <c r="D103" s="8">
        <v>0.3</v>
      </c>
      <c r="E103" s="8">
        <f>1/8</f>
        <v>0.125</v>
      </c>
      <c r="F103" s="8">
        <f>2/6</f>
        <v>0.3333333333333333</v>
      </c>
      <c r="G103" s="8">
        <f t="shared" si="1"/>
        <v>0.7602272727272728</v>
      </c>
      <c r="H103" s="8">
        <f>0.76/94.5</f>
        <v>0.008042328042328042</v>
      </c>
      <c r="I103" s="8">
        <f t="shared" si="2"/>
        <v>1.218560606060606</v>
      </c>
      <c r="J103" s="8">
        <f>1.21/144</f>
        <v>0.008402777777777778</v>
      </c>
    </row>
    <row r="104" spans="1:10" ht="11.25">
      <c r="A104" s="23" t="s">
        <v>15</v>
      </c>
      <c r="B104" s="8">
        <f>1/22</f>
        <v>0.045454545454545456</v>
      </c>
      <c r="C104" s="8">
        <f>0/16</f>
        <v>0</v>
      </c>
      <c r="D104" s="8">
        <v>0</v>
      </c>
      <c r="E104" s="8">
        <v>0</v>
      </c>
      <c r="F104" s="8">
        <v>0</v>
      </c>
      <c r="G104" s="8">
        <v>0.045</v>
      </c>
      <c r="H104" s="8">
        <f>0.045/94.5</f>
        <v>0.0004761904761904762</v>
      </c>
      <c r="I104" s="8">
        <v>0.045</v>
      </c>
      <c r="J104" s="8">
        <f>0.45/144</f>
        <v>0.003125</v>
      </c>
    </row>
    <row r="105" spans="1:10" ht="11.25">
      <c r="A105" s="23" t="s">
        <v>16</v>
      </c>
      <c r="B105" s="8">
        <f>20/22</f>
        <v>0.9090909090909091</v>
      </c>
      <c r="C105" s="8">
        <f>9/16</f>
        <v>0.5625</v>
      </c>
      <c r="D105" s="8">
        <v>0</v>
      </c>
      <c r="E105" s="8">
        <f>4/8</f>
        <v>0.5</v>
      </c>
      <c r="F105" s="8">
        <v>0</v>
      </c>
      <c r="G105" s="8">
        <f>SUM(B105:D105)</f>
        <v>1.4715909090909092</v>
      </c>
      <c r="H105" s="8">
        <f>1.47/94.5</f>
        <v>0.015555555555555555</v>
      </c>
      <c r="I105" s="8">
        <f>SUM(B105:F105)</f>
        <v>1.9715909090909092</v>
      </c>
      <c r="J105" s="8">
        <f>1.97/144</f>
        <v>0.013680555555555555</v>
      </c>
    </row>
    <row r="106" spans="1:10" s="8" customFormat="1" ht="11.25">
      <c r="A106" s="23" t="s">
        <v>24</v>
      </c>
      <c r="B106" s="8">
        <f>SUM(B94:B105)</f>
        <v>26.000000000000004</v>
      </c>
      <c r="C106" s="8">
        <f>SUM(C94:C105)</f>
        <v>13.6875</v>
      </c>
      <c r="D106" s="8">
        <f>SUM(D94:D105)</f>
        <v>12.600000000000001</v>
      </c>
      <c r="E106" s="8">
        <f>SUM(E94:E105)</f>
        <v>7.875</v>
      </c>
      <c r="F106" s="8">
        <f>SUM(F94:F105)</f>
        <v>19</v>
      </c>
      <c r="G106" s="8">
        <f>SUM(B106:D106)</f>
        <v>52.2875</v>
      </c>
      <c r="H106" s="8">
        <f>52.28/94.5</f>
        <v>0.5532275132275133</v>
      </c>
      <c r="I106" s="8">
        <f>SUM(B106:F106)</f>
        <v>79.1625</v>
      </c>
      <c r="J106" s="8">
        <f>79.16/144</f>
        <v>0.5497222222222222</v>
      </c>
    </row>
    <row r="107" spans="1:6" ht="11.25">
      <c r="A107" s="22" t="s">
        <v>19</v>
      </c>
      <c r="B107" s="11">
        <v>22</v>
      </c>
      <c r="C107" s="11">
        <v>16</v>
      </c>
      <c r="D107" s="11">
        <v>10</v>
      </c>
      <c r="E107" s="11">
        <v>8</v>
      </c>
      <c r="F107" s="11">
        <v>6</v>
      </c>
    </row>
    <row r="109" ht="11.25">
      <c r="A109" s="31" t="s">
        <v>39</v>
      </c>
    </row>
    <row r="110" spans="1:10" s="16" customFormat="1" ht="11.25">
      <c r="A110" s="32" t="s">
        <v>0</v>
      </c>
      <c r="B110" s="16" t="s">
        <v>21</v>
      </c>
      <c r="C110" s="16" t="s">
        <v>9</v>
      </c>
      <c r="D110" s="16" t="s">
        <v>10</v>
      </c>
      <c r="E110" s="16" t="s">
        <v>20</v>
      </c>
      <c r="F110" s="16" t="s">
        <v>11</v>
      </c>
      <c r="G110" s="16" t="s">
        <v>23</v>
      </c>
      <c r="H110" s="16" t="s">
        <v>26</v>
      </c>
      <c r="I110" s="16" t="s">
        <v>24</v>
      </c>
      <c r="J110" s="16" t="s">
        <v>25</v>
      </c>
    </row>
    <row r="111" spans="1:10" ht="11.25">
      <c r="A111" s="23" t="s">
        <v>4</v>
      </c>
      <c r="B111" s="8">
        <v>4</v>
      </c>
      <c r="C111" s="8">
        <v>1</v>
      </c>
      <c r="D111" s="8">
        <v>0.6</v>
      </c>
      <c r="E111" s="8">
        <v>0.8</v>
      </c>
      <c r="F111" s="8">
        <v>0.5</v>
      </c>
      <c r="G111" s="8">
        <f aca="true" t="shared" si="3" ref="G111:G121">SUM(B111:D111)</f>
        <v>5.6</v>
      </c>
      <c r="H111" s="8">
        <f>5.6/94.5</f>
        <v>0.059259259259259255</v>
      </c>
      <c r="I111" s="8">
        <f aca="true" t="shared" si="4" ref="I111:I123">SUM(B111:F111)</f>
        <v>6.8999999999999995</v>
      </c>
      <c r="J111" s="8">
        <f>6.9/144</f>
        <v>0.04791666666666667</v>
      </c>
    </row>
    <row r="112" spans="1:10" ht="11.25">
      <c r="A112" s="23" t="s">
        <v>5</v>
      </c>
      <c r="B112" s="8">
        <f>22/16</f>
        <v>1.375</v>
      </c>
      <c r="C112" s="8">
        <v>1</v>
      </c>
      <c r="D112" s="8">
        <v>0</v>
      </c>
      <c r="E112" s="8">
        <v>0.4</v>
      </c>
      <c r="F112" s="8">
        <v>0.75</v>
      </c>
      <c r="G112" s="8">
        <f t="shared" si="3"/>
        <v>2.375</v>
      </c>
      <c r="H112" s="8">
        <f>2.375/94.5</f>
        <v>0.02513227513227513</v>
      </c>
      <c r="I112" s="8">
        <f t="shared" si="4"/>
        <v>3.525</v>
      </c>
      <c r="J112" s="8">
        <f>3.5/144</f>
        <v>0.024305555555555556</v>
      </c>
    </row>
    <row r="113" spans="1:10" ht="11.25">
      <c r="A113" s="23" t="s">
        <v>3</v>
      </c>
      <c r="B113" s="8">
        <f>141/16</f>
        <v>8.8125</v>
      </c>
      <c r="C113" s="8">
        <f>65/8</f>
        <v>8.125</v>
      </c>
      <c r="D113" s="8">
        <v>3</v>
      </c>
      <c r="E113" s="8">
        <v>3.4</v>
      </c>
      <c r="F113" s="8">
        <v>5.75</v>
      </c>
      <c r="G113" s="8">
        <f t="shared" si="3"/>
        <v>19.9375</v>
      </c>
      <c r="H113" s="8">
        <f>19.94/94.5</f>
        <v>0.21100529100529103</v>
      </c>
      <c r="I113" s="8">
        <f t="shared" si="4"/>
        <v>29.0875</v>
      </c>
      <c r="J113" s="8">
        <f>29.1/144</f>
        <v>0.20208333333333334</v>
      </c>
    </row>
    <row r="114" spans="1:10" ht="11.25">
      <c r="A114" s="23" t="s">
        <v>1</v>
      </c>
      <c r="B114" s="8">
        <f>52/16</f>
        <v>3.25</v>
      </c>
      <c r="C114" s="8">
        <f>11/8</f>
        <v>1.375</v>
      </c>
      <c r="D114" s="8">
        <v>0</v>
      </c>
      <c r="E114" s="8">
        <v>1.2</v>
      </c>
      <c r="F114" s="8">
        <v>0.75</v>
      </c>
      <c r="G114" s="8">
        <f t="shared" si="3"/>
        <v>4.625</v>
      </c>
      <c r="H114" s="8">
        <f>4.63/94.5</f>
        <v>0.048994708994708994</v>
      </c>
      <c r="I114" s="8">
        <f t="shared" si="4"/>
        <v>6.575</v>
      </c>
      <c r="J114" s="8">
        <f>6.57/144</f>
        <v>0.045625</v>
      </c>
    </row>
    <row r="115" spans="1:10" ht="11.25">
      <c r="A115" s="23" t="s">
        <v>2</v>
      </c>
      <c r="B115" s="8">
        <f>35/16</f>
        <v>2.1875</v>
      </c>
      <c r="C115" s="8">
        <f>12/8</f>
        <v>1.5</v>
      </c>
      <c r="D115" s="8">
        <v>0.4</v>
      </c>
      <c r="E115" s="8">
        <v>0</v>
      </c>
      <c r="F115" s="8">
        <v>0.5</v>
      </c>
      <c r="G115" s="8">
        <f t="shared" si="3"/>
        <v>4.0875</v>
      </c>
      <c r="H115" s="8">
        <f>4.09/94.5</f>
        <v>0.04328042328042328</v>
      </c>
      <c r="I115" s="8">
        <f t="shared" si="4"/>
        <v>4.5875</v>
      </c>
      <c r="J115" s="8">
        <f>4.59/144</f>
        <v>0.031875</v>
      </c>
    </row>
    <row r="116" spans="1:10" ht="11.25">
      <c r="A116" s="23" t="s">
        <v>17</v>
      </c>
      <c r="B116" s="8">
        <f>23/16</f>
        <v>1.4375</v>
      </c>
      <c r="C116" s="8">
        <f>9/8</f>
        <v>1.125</v>
      </c>
      <c r="D116" s="8">
        <v>0.2</v>
      </c>
      <c r="E116" s="8">
        <v>0</v>
      </c>
      <c r="F116" s="8">
        <v>1</v>
      </c>
      <c r="G116" s="8">
        <f t="shared" si="3"/>
        <v>2.7625</v>
      </c>
      <c r="H116" s="8">
        <f>2.76/94.5</f>
        <v>0.029206349206349205</v>
      </c>
      <c r="I116" s="8">
        <f t="shared" si="4"/>
        <v>3.7625</v>
      </c>
      <c r="J116" s="8">
        <f>3.76/144</f>
        <v>0.02611111111111111</v>
      </c>
    </row>
    <row r="117" spans="1:10" ht="11.25">
      <c r="A117" s="23" t="s">
        <v>13</v>
      </c>
      <c r="B117" s="8">
        <f>28/16</f>
        <v>1.75</v>
      </c>
      <c r="C117" s="8">
        <f>6/8</f>
        <v>0.75</v>
      </c>
      <c r="D117" s="8">
        <v>1.2</v>
      </c>
      <c r="E117" s="8">
        <v>1.2</v>
      </c>
      <c r="F117" s="8">
        <v>0.5</v>
      </c>
      <c r="G117" s="8">
        <f t="shared" si="3"/>
        <v>3.7</v>
      </c>
      <c r="H117" s="8">
        <v>0.04</v>
      </c>
      <c r="I117" s="8">
        <f t="shared" si="4"/>
        <v>5.4</v>
      </c>
      <c r="J117" s="8">
        <v>0.04</v>
      </c>
    </row>
    <row r="118" spans="1:10" ht="11.25">
      <c r="A118" s="23" t="s">
        <v>18</v>
      </c>
      <c r="B118" s="8">
        <f>1/16</f>
        <v>0.0625</v>
      </c>
      <c r="C118" s="8">
        <f>1/8</f>
        <v>0.125</v>
      </c>
      <c r="D118" s="8">
        <v>0.4</v>
      </c>
      <c r="E118" s="8">
        <v>0</v>
      </c>
      <c r="F118" s="8">
        <v>0.25</v>
      </c>
      <c r="G118" s="8">
        <f t="shared" si="3"/>
        <v>0.5875</v>
      </c>
      <c r="H118" s="8">
        <f>0.59/94.5</f>
        <v>0.006243386243386243</v>
      </c>
      <c r="I118" s="8">
        <f t="shared" si="4"/>
        <v>0.8375</v>
      </c>
      <c r="J118" s="8">
        <f>0.84/144</f>
        <v>0.005833333333333333</v>
      </c>
    </row>
    <row r="119" spans="1:10" ht="11.25">
      <c r="A119" s="23" t="s">
        <v>6</v>
      </c>
      <c r="B119" s="8">
        <f>59/16</f>
        <v>3.6875</v>
      </c>
      <c r="C119" s="8">
        <f>18/8</f>
        <v>2.25</v>
      </c>
      <c r="D119" s="8">
        <v>1.4</v>
      </c>
      <c r="E119" s="8">
        <v>1</v>
      </c>
      <c r="F119" s="8">
        <v>6.75</v>
      </c>
      <c r="G119" s="8">
        <f t="shared" si="3"/>
        <v>7.3375</v>
      </c>
      <c r="H119" s="8">
        <f>7.33/94.5</f>
        <v>0.07756613756613756</v>
      </c>
      <c r="I119" s="8">
        <f t="shared" si="4"/>
        <v>15.0875</v>
      </c>
      <c r="J119" s="8">
        <f>15.09/144</f>
        <v>0.10479166666666667</v>
      </c>
    </row>
    <row r="120" spans="1:10" ht="11.25">
      <c r="A120" s="23" t="s">
        <v>7</v>
      </c>
      <c r="B120" s="8">
        <f>3/16</f>
        <v>0.1875</v>
      </c>
      <c r="C120" s="8">
        <f>6/8</f>
        <v>0.75</v>
      </c>
      <c r="D120" s="8">
        <v>0.2</v>
      </c>
      <c r="E120" s="8">
        <v>0</v>
      </c>
      <c r="F120" s="8">
        <v>1</v>
      </c>
      <c r="G120" s="8">
        <f t="shared" si="3"/>
        <v>1.1375</v>
      </c>
      <c r="H120" s="8">
        <f>1.14/94.5</f>
        <v>0.012063492063492063</v>
      </c>
      <c r="I120" s="8">
        <f t="shared" si="4"/>
        <v>2.1375</v>
      </c>
      <c r="J120" s="8">
        <f>2.14/144</f>
        <v>0.014861111111111111</v>
      </c>
    </row>
    <row r="121" spans="1:10" ht="11.25">
      <c r="A121" s="23" t="s">
        <v>15</v>
      </c>
      <c r="B121" s="8">
        <f>1/16</f>
        <v>0.0625</v>
      </c>
      <c r="C121" s="8">
        <v>0</v>
      </c>
      <c r="D121" s="8">
        <v>0</v>
      </c>
      <c r="E121" s="8">
        <v>0</v>
      </c>
      <c r="F121" s="8">
        <v>0</v>
      </c>
      <c r="G121" s="8">
        <f t="shared" si="3"/>
        <v>0.0625</v>
      </c>
      <c r="H121" s="8">
        <f>0.06/94.5</f>
        <v>0.0006349206349206349</v>
      </c>
      <c r="I121" s="8">
        <f t="shared" si="4"/>
        <v>0.0625</v>
      </c>
      <c r="J121" s="8">
        <f>0.63/144</f>
        <v>0.004375</v>
      </c>
    </row>
    <row r="122" spans="1:10" ht="11.25">
      <c r="A122" s="23" t="s">
        <v>16</v>
      </c>
      <c r="B122" s="8">
        <f>8/16</f>
        <v>0.5</v>
      </c>
      <c r="C122" s="8">
        <v>0.125</v>
      </c>
      <c r="D122" s="8">
        <v>0</v>
      </c>
      <c r="E122" s="8">
        <v>0</v>
      </c>
      <c r="F122" s="8">
        <v>0</v>
      </c>
      <c r="G122" s="8">
        <v>0.625</v>
      </c>
      <c r="H122" s="8">
        <f>0.63/94.5</f>
        <v>0.006666666666666667</v>
      </c>
      <c r="I122" s="8">
        <f t="shared" si="4"/>
        <v>0.625</v>
      </c>
      <c r="J122" s="8">
        <f>0.63/144</f>
        <v>0.004375</v>
      </c>
    </row>
    <row r="123" spans="1:10" ht="11.25">
      <c r="A123" s="22" t="s">
        <v>24</v>
      </c>
      <c r="B123" s="8">
        <f>SUM(B111:B122)</f>
        <v>27.3125</v>
      </c>
      <c r="C123" s="8">
        <f>SUM(C111:C122)</f>
        <v>18.125</v>
      </c>
      <c r="D123" s="8">
        <f>SUM(D111:D122)</f>
        <v>7.400000000000001</v>
      </c>
      <c r="E123" s="8">
        <f>SUM(E111:E122)</f>
        <v>8</v>
      </c>
      <c r="F123" s="8">
        <f>SUM(F111:F122)</f>
        <v>17.75</v>
      </c>
      <c r="G123" s="8">
        <f>SUM(G122)</f>
        <v>0.625</v>
      </c>
      <c r="H123" s="8">
        <f>0.63/94.5</f>
        <v>0.006666666666666667</v>
      </c>
      <c r="I123" s="8">
        <f t="shared" si="4"/>
        <v>78.5875</v>
      </c>
      <c r="J123" s="8">
        <f>78.59/144</f>
        <v>0.5457638888888889</v>
      </c>
    </row>
    <row r="124" spans="1:6" ht="11.25">
      <c r="A124" s="22" t="s">
        <v>19</v>
      </c>
      <c r="B124" s="11">
        <v>16</v>
      </c>
      <c r="C124" s="11">
        <v>8</v>
      </c>
      <c r="D124" s="11">
        <v>5</v>
      </c>
      <c r="E124" s="11">
        <v>5</v>
      </c>
      <c r="F124" s="11">
        <v>4</v>
      </c>
    </row>
    <row r="126" ht="11.25">
      <c r="A126" s="31" t="s">
        <v>38</v>
      </c>
    </row>
    <row r="127" spans="1:9" s="16" customFormat="1" ht="11.25">
      <c r="A127" s="32" t="s">
        <v>0</v>
      </c>
      <c r="B127" s="16" t="s">
        <v>21</v>
      </c>
      <c r="C127" s="16" t="s">
        <v>9</v>
      </c>
      <c r="D127" s="16" t="s">
        <v>10</v>
      </c>
      <c r="E127" s="16" t="s">
        <v>11</v>
      </c>
      <c r="F127" s="16" t="s">
        <v>23</v>
      </c>
      <c r="G127" s="16" t="s">
        <v>26</v>
      </c>
      <c r="H127" s="16" t="s">
        <v>24</v>
      </c>
      <c r="I127" s="16" t="s">
        <v>25</v>
      </c>
    </row>
    <row r="128" spans="1:9" ht="11.25">
      <c r="A128" s="23" t="s">
        <v>4</v>
      </c>
      <c r="B128" s="8">
        <f>31/9</f>
        <v>3.4444444444444446</v>
      </c>
      <c r="C128" s="8">
        <f>18/14</f>
        <v>1.2857142857142858</v>
      </c>
      <c r="D128" s="8">
        <v>0.33</v>
      </c>
      <c r="E128" s="8">
        <v>0</v>
      </c>
      <c r="F128" s="8">
        <f>SUM(B128:E128)</f>
        <v>5.06015873015873</v>
      </c>
      <c r="G128" s="8">
        <f>5.06/94.5</f>
        <v>0.05354497354497354</v>
      </c>
      <c r="H128" s="8">
        <v>5.06</v>
      </c>
      <c r="I128" s="8">
        <f>5.06/124.5</f>
        <v>0.040642570281124495</v>
      </c>
    </row>
    <row r="129" spans="1:9" ht="11.25">
      <c r="A129" s="23" t="s">
        <v>5</v>
      </c>
      <c r="B129" s="8">
        <f>11/9</f>
        <v>1.2222222222222223</v>
      </c>
      <c r="C129" s="8">
        <f>17/14</f>
        <v>1.2142857142857142</v>
      </c>
      <c r="D129" s="8">
        <v>0</v>
      </c>
      <c r="E129" s="8">
        <v>1.2</v>
      </c>
      <c r="F129" s="8">
        <f aca="true" t="shared" si="5" ref="F129:F136">SUM(B129:D129)</f>
        <v>2.4365079365079367</v>
      </c>
      <c r="G129" s="8">
        <f>2.44/94.5</f>
        <v>0.02582010582010582</v>
      </c>
      <c r="H129" s="8">
        <f>SUM(B129:E129)</f>
        <v>3.636507936507937</v>
      </c>
      <c r="I129" s="8">
        <f>3.64/124.5</f>
        <v>0.02923694779116466</v>
      </c>
    </row>
    <row r="130" spans="1:9" ht="11.25">
      <c r="A130" s="23" t="s">
        <v>3</v>
      </c>
      <c r="B130" s="8">
        <f>95/9</f>
        <v>10.555555555555555</v>
      </c>
      <c r="C130" s="8">
        <f>91/14</f>
        <v>6.5</v>
      </c>
      <c r="D130" s="8">
        <v>3.33</v>
      </c>
      <c r="E130" s="8">
        <v>3.2</v>
      </c>
      <c r="F130" s="8">
        <f t="shared" si="5"/>
        <v>20.385555555555555</v>
      </c>
      <c r="G130" s="8">
        <f>20.39/94.5</f>
        <v>0.21576719576719577</v>
      </c>
      <c r="H130" s="8">
        <f>SUM(B130:E130)</f>
        <v>23.585555555555555</v>
      </c>
      <c r="I130" s="8">
        <f>23.59/124.5</f>
        <v>0.18947791164658634</v>
      </c>
    </row>
    <row r="131" spans="1:9" ht="11.25">
      <c r="A131" s="23" t="s">
        <v>1</v>
      </c>
      <c r="B131" s="8">
        <f>28/9</f>
        <v>3.111111111111111</v>
      </c>
      <c r="C131" s="8">
        <f>27/14</f>
        <v>1.9285714285714286</v>
      </c>
      <c r="D131" s="8">
        <v>0</v>
      </c>
      <c r="E131" s="8">
        <v>0</v>
      </c>
      <c r="F131" s="8">
        <f t="shared" si="5"/>
        <v>5.0396825396825395</v>
      </c>
      <c r="G131" s="8">
        <f>5.04/94.5</f>
        <v>0.05333333333333334</v>
      </c>
      <c r="H131" s="8">
        <v>5.04</v>
      </c>
      <c r="I131" s="8">
        <f>5.04/124.5</f>
        <v>0.04048192771084337</v>
      </c>
    </row>
    <row r="132" spans="1:9" ht="11.25">
      <c r="A132" s="23" t="s">
        <v>2</v>
      </c>
      <c r="B132" s="8">
        <f>30/9</f>
        <v>3.3333333333333335</v>
      </c>
      <c r="C132" s="8">
        <f>16/14</f>
        <v>1.1428571428571428</v>
      </c>
      <c r="D132" s="8">
        <v>0</v>
      </c>
      <c r="E132" s="8">
        <v>0.4</v>
      </c>
      <c r="F132" s="8">
        <f t="shared" si="5"/>
        <v>4.476190476190476</v>
      </c>
      <c r="G132" s="8">
        <f>4.48/94.5</f>
        <v>0.04740740740740741</v>
      </c>
      <c r="H132" s="8">
        <f>SUM(B132:E132)</f>
        <v>4.876190476190477</v>
      </c>
      <c r="I132" s="8">
        <f>4.88/124.5</f>
        <v>0.03919678714859438</v>
      </c>
    </row>
    <row r="133" spans="1:9" ht="11.25">
      <c r="A133" s="23" t="s">
        <v>17</v>
      </c>
      <c r="B133" s="8">
        <f>26/9</f>
        <v>2.888888888888889</v>
      </c>
      <c r="C133" s="8">
        <f>11/14</f>
        <v>0.7857142857142857</v>
      </c>
      <c r="D133" s="8">
        <v>0.33</v>
      </c>
      <c r="E133" s="8">
        <v>0.8</v>
      </c>
      <c r="F133" s="8">
        <f t="shared" si="5"/>
        <v>4.004603174603174</v>
      </c>
      <c r="G133" s="8">
        <f>4/94.5</f>
        <v>0.042328042328042326</v>
      </c>
      <c r="H133" s="8">
        <f>SUM(B133:E133)</f>
        <v>4.804603174603174</v>
      </c>
      <c r="I133" s="8">
        <f>4.8/124.5</f>
        <v>0.038554216867469876</v>
      </c>
    </row>
    <row r="134" spans="1:9" ht="11.25">
      <c r="A134" s="23" t="s">
        <v>13</v>
      </c>
      <c r="B134" s="8">
        <f>20/9</f>
        <v>2.2222222222222223</v>
      </c>
      <c r="C134" s="8">
        <f>6/14</f>
        <v>0.42857142857142855</v>
      </c>
      <c r="D134" s="8">
        <v>2</v>
      </c>
      <c r="E134" s="8">
        <v>0</v>
      </c>
      <c r="F134" s="8">
        <f t="shared" si="5"/>
        <v>4.65079365079365</v>
      </c>
      <c r="G134" s="8">
        <f>4.65/94.5</f>
        <v>0.04920634920634921</v>
      </c>
      <c r="H134" s="8">
        <v>4.65</v>
      </c>
      <c r="I134" s="8">
        <f>4.65/124.5</f>
        <v>0.03734939759036145</v>
      </c>
    </row>
    <row r="135" spans="1:9" ht="11.25">
      <c r="A135" s="23" t="s">
        <v>18</v>
      </c>
      <c r="B135" s="8">
        <v>0.22</v>
      </c>
      <c r="C135" s="8">
        <f>3/14</f>
        <v>0.21428571428571427</v>
      </c>
      <c r="D135" s="8">
        <v>0</v>
      </c>
      <c r="E135" s="8">
        <v>0</v>
      </c>
      <c r="F135" s="8">
        <f t="shared" si="5"/>
        <v>0.4342857142857143</v>
      </c>
      <c r="G135" s="8">
        <f>0.43/94.5</f>
        <v>0.00455026455026455</v>
      </c>
      <c r="H135" s="8">
        <v>0.58</v>
      </c>
      <c r="I135" s="8">
        <f>0.58/124.5</f>
        <v>0.00465863453815261</v>
      </c>
    </row>
    <row r="136" spans="1:9" ht="11.25">
      <c r="A136" s="23" t="s">
        <v>6</v>
      </c>
      <c r="B136" s="8">
        <f>47/9</f>
        <v>5.222222222222222</v>
      </c>
      <c r="C136" s="8">
        <f>45/14</f>
        <v>3.2142857142857144</v>
      </c>
      <c r="D136" s="8">
        <v>0.67</v>
      </c>
      <c r="E136" s="8">
        <v>4.6</v>
      </c>
      <c r="F136" s="8">
        <f t="shared" si="5"/>
        <v>9.106507936507937</v>
      </c>
      <c r="G136" s="8">
        <f>9.11/94.5</f>
        <v>0.09640211640211639</v>
      </c>
      <c r="H136" s="8">
        <f>SUM(B136:E136)</f>
        <v>13.706507936507936</v>
      </c>
      <c r="I136" s="8">
        <f>13.71/124.5</f>
        <v>0.11012048192771084</v>
      </c>
    </row>
    <row r="137" spans="1:9" ht="11.25">
      <c r="A137" s="23" t="s">
        <v>7</v>
      </c>
      <c r="B137" s="8">
        <f>1/9</f>
        <v>0.1111111111111111</v>
      </c>
      <c r="C137" s="8">
        <v>0</v>
      </c>
      <c r="D137" s="8">
        <v>0</v>
      </c>
      <c r="E137" s="8">
        <v>0</v>
      </c>
      <c r="F137" s="8">
        <f>SUM(B137)</f>
        <v>0.1111111111111111</v>
      </c>
      <c r="G137" s="8">
        <f>0.11/94.5</f>
        <v>0.001164021164021164</v>
      </c>
      <c r="H137" s="8">
        <v>0.11</v>
      </c>
      <c r="I137" s="8">
        <f>0.11/124.5</f>
        <v>0.0008835341365461848</v>
      </c>
    </row>
    <row r="138" spans="1:9" ht="11.25">
      <c r="A138" s="23" t="s">
        <v>15</v>
      </c>
      <c r="B138" s="8">
        <f>2/9</f>
        <v>0.2222222222222222</v>
      </c>
      <c r="C138" s="8">
        <v>0</v>
      </c>
      <c r="D138" s="8">
        <v>0</v>
      </c>
      <c r="E138" s="8">
        <v>0</v>
      </c>
      <c r="F138" s="8">
        <v>0.2222</v>
      </c>
      <c r="G138" s="8">
        <f>0.22/94.5</f>
        <v>0.002328042328042328</v>
      </c>
      <c r="H138" s="8">
        <v>0.22</v>
      </c>
      <c r="I138" s="8">
        <f>0.22/124.5</f>
        <v>0.0017670682730923696</v>
      </c>
    </row>
    <row r="139" spans="1:9" ht="11.25">
      <c r="A139" s="23" t="s">
        <v>16</v>
      </c>
      <c r="B139" s="8">
        <f>2/9</f>
        <v>0.2222222222222222</v>
      </c>
      <c r="C139" s="8">
        <f>2/14</f>
        <v>0.14285714285714285</v>
      </c>
      <c r="D139" s="8">
        <v>0</v>
      </c>
      <c r="E139" s="8">
        <v>0</v>
      </c>
      <c r="F139" s="8">
        <f>SUM(B139:D139)</f>
        <v>0.36507936507936506</v>
      </c>
      <c r="G139" s="8">
        <f>0.37/94.5</f>
        <v>0.003915343915343915</v>
      </c>
      <c r="H139" s="8">
        <v>0.36</v>
      </c>
      <c r="I139" s="8">
        <f>0.36/124.5</f>
        <v>0.002891566265060241</v>
      </c>
    </row>
    <row r="140" spans="1:9" ht="11.25">
      <c r="A140" s="22" t="s">
        <v>24</v>
      </c>
      <c r="B140" s="8">
        <f>SUM(B128:B139)</f>
        <v>32.775555555555556</v>
      </c>
      <c r="C140" s="8">
        <f>SUM(C128:C139)</f>
        <v>16.857142857142858</v>
      </c>
      <c r="D140" s="8">
        <f>SUM(D128:D139)</f>
        <v>6.66</v>
      </c>
      <c r="E140" s="8">
        <f>SUM(E128:E139)</f>
        <v>10.2</v>
      </c>
      <c r="F140" s="8">
        <f>SUM(B140:D140)</f>
        <v>56.292698412698414</v>
      </c>
      <c r="G140" s="8">
        <f>70.41/94.5</f>
        <v>0.745079365079365</v>
      </c>
      <c r="H140" s="8">
        <v>80.61</v>
      </c>
      <c r="I140" s="8">
        <f>80.61/124.5</f>
        <v>0.6474698795180723</v>
      </c>
    </row>
    <row r="141" spans="1:5" ht="11.25">
      <c r="A141" s="22" t="s">
        <v>19</v>
      </c>
      <c r="B141" s="11">
        <v>9</v>
      </c>
      <c r="C141" s="11">
        <v>14</v>
      </c>
      <c r="D141" s="11">
        <v>3</v>
      </c>
      <c r="E141" s="11">
        <v>5</v>
      </c>
    </row>
    <row r="143" ht="11.25">
      <c r="A143" s="31" t="s">
        <v>37</v>
      </c>
    </row>
    <row r="144" spans="1:9" s="16" customFormat="1" ht="11.25">
      <c r="A144" s="32" t="s">
        <v>0</v>
      </c>
      <c r="B144" s="16" t="s">
        <v>21</v>
      </c>
      <c r="C144" s="16" t="s">
        <v>9</v>
      </c>
      <c r="D144" s="16" t="s">
        <v>10</v>
      </c>
      <c r="E144" s="16" t="s">
        <v>11</v>
      </c>
      <c r="F144" s="16" t="s">
        <v>23</v>
      </c>
      <c r="G144" s="16" t="s">
        <v>26</v>
      </c>
      <c r="H144" s="16" t="s">
        <v>24</v>
      </c>
      <c r="I144" s="16" t="s">
        <v>25</v>
      </c>
    </row>
    <row r="145" spans="1:9" ht="11.25">
      <c r="A145" s="23" t="s">
        <v>4</v>
      </c>
      <c r="B145" s="8">
        <v>2.9</v>
      </c>
      <c r="C145" s="8">
        <f>5/6</f>
        <v>0.8333333333333334</v>
      </c>
      <c r="D145" s="8">
        <v>0.5</v>
      </c>
      <c r="E145" s="8">
        <f>22/15</f>
        <v>1.4666666666666666</v>
      </c>
      <c r="F145" s="8">
        <f aca="true" t="shared" si="6" ref="F145:F155">SUM(B145:D145)</f>
        <v>4.233333333333333</v>
      </c>
      <c r="G145" s="8">
        <f>4.23/94.5</f>
        <v>0.04476190476190477</v>
      </c>
      <c r="H145" s="8">
        <f aca="true" t="shared" si="7" ref="H145:H156">SUM(B145:E145)</f>
        <v>5.7</v>
      </c>
      <c r="I145" s="8">
        <f>5.7/124.5</f>
        <v>0.045783132530120486</v>
      </c>
    </row>
    <row r="146" spans="1:9" ht="11.25">
      <c r="A146" s="23" t="s">
        <v>5</v>
      </c>
      <c r="B146" s="8">
        <v>0.75</v>
      </c>
      <c r="C146" s="8">
        <f>1/6</f>
        <v>0.16666666666666666</v>
      </c>
      <c r="D146" s="8">
        <v>0.33</v>
      </c>
      <c r="E146" s="8">
        <f>10/15</f>
        <v>0.6666666666666666</v>
      </c>
      <c r="F146" s="8">
        <f t="shared" si="6"/>
        <v>1.2466666666666666</v>
      </c>
      <c r="G146" s="8">
        <f>1.25/94.5</f>
        <v>0.013227513227513227</v>
      </c>
      <c r="H146" s="8">
        <f t="shared" si="7"/>
        <v>1.913333333333333</v>
      </c>
      <c r="I146" s="8">
        <f>1.91/124.5</f>
        <v>0.01534136546184739</v>
      </c>
    </row>
    <row r="147" spans="1:9" ht="11.25">
      <c r="A147" s="23" t="s">
        <v>3</v>
      </c>
      <c r="B147" s="8">
        <v>8.2</v>
      </c>
      <c r="C147" s="8">
        <f>33/6</f>
        <v>5.5</v>
      </c>
      <c r="D147" s="8">
        <f>49/12</f>
        <v>4.083333333333333</v>
      </c>
      <c r="E147" s="8">
        <f>157/15</f>
        <v>10.466666666666667</v>
      </c>
      <c r="F147" s="8">
        <f t="shared" si="6"/>
        <v>17.78333333333333</v>
      </c>
      <c r="G147" s="8">
        <f>17.78/94.5</f>
        <v>0.18814814814814815</v>
      </c>
      <c r="H147" s="8">
        <f t="shared" si="7"/>
        <v>28.25</v>
      </c>
      <c r="I147" s="8">
        <f>28.25/124.5</f>
        <v>0.22690763052208834</v>
      </c>
    </row>
    <row r="148" spans="1:9" ht="11.25">
      <c r="A148" s="23" t="s">
        <v>1</v>
      </c>
      <c r="B148" s="8">
        <v>1.95</v>
      </c>
      <c r="C148" s="8">
        <v>1</v>
      </c>
      <c r="D148" s="8">
        <f>5/12</f>
        <v>0.4166666666666667</v>
      </c>
      <c r="E148" s="8">
        <f>24/15</f>
        <v>1.6</v>
      </c>
      <c r="F148" s="8">
        <f t="shared" si="6"/>
        <v>3.3666666666666667</v>
      </c>
      <c r="G148" s="8">
        <f>3.37/94.5</f>
        <v>0.035661375661375665</v>
      </c>
      <c r="H148" s="8">
        <f t="shared" si="7"/>
        <v>4.966666666666667</v>
      </c>
      <c r="I148" s="8">
        <f>4.97/124.5</f>
        <v>0.039919678714859436</v>
      </c>
    </row>
    <row r="149" spans="1:9" ht="11.25">
      <c r="A149" s="23" t="s">
        <v>2</v>
      </c>
      <c r="B149" s="8">
        <v>1.65</v>
      </c>
      <c r="C149" s="8">
        <v>0</v>
      </c>
      <c r="D149" s="8">
        <v>0.75</v>
      </c>
      <c r="E149" s="8">
        <f>7/15</f>
        <v>0.4666666666666667</v>
      </c>
      <c r="F149" s="8">
        <f t="shared" si="6"/>
        <v>2.4</v>
      </c>
      <c r="G149" s="8">
        <f>2.4/94.5</f>
        <v>0.025396825396825397</v>
      </c>
      <c r="H149" s="8">
        <f t="shared" si="7"/>
        <v>2.8666666666666667</v>
      </c>
      <c r="I149" s="8">
        <f>2.87/124.5</f>
        <v>0.023052208835341367</v>
      </c>
    </row>
    <row r="150" spans="1:9" ht="11.25">
      <c r="A150" s="23" t="s">
        <v>17</v>
      </c>
      <c r="B150" s="8">
        <v>1.1</v>
      </c>
      <c r="C150" s="8">
        <v>0.33</v>
      </c>
      <c r="D150" s="8">
        <v>0.33</v>
      </c>
      <c r="E150" s="8">
        <f>23/15</f>
        <v>1.5333333333333334</v>
      </c>
      <c r="F150" s="8">
        <f t="shared" si="6"/>
        <v>1.7600000000000002</v>
      </c>
      <c r="G150" s="8">
        <f>1.76/94.5</f>
        <v>0.018624338624338623</v>
      </c>
      <c r="H150" s="8">
        <f t="shared" si="7"/>
        <v>3.293333333333334</v>
      </c>
      <c r="I150" s="8">
        <f>3.29/124.5</f>
        <v>0.02642570281124498</v>
      </c>
    </row>
    <row r="151" spans="1:9" ht="11.25">
      <c r="A151" s="23" t="s">
        <v>13</v>
      </c>
      <c r="B151" s="8">
        <v>2.1</v>
      </c>
      <c r="C151" s="8">
        <v>0.33</v>
      </c>
      <c r="D151" s="8">
        <v>0.5</v>
      </c>
      <c r="E151" s="8">
        <f>11/15</f>
        <v>0.7333333333333333</v>
      </c>
      <c r="F151" s="8">
        <f t="shared" si="6"/>
        <v>2.93</v>
      </c>
      <c r="G151" s="8">
        <f>2.93/94.5</f>
        <v>0.031005291005291008</v>
      </c>
      <c r="H151" s="8">
        <f t="shared" si="7"/>
        <v>3.6633333333333336</v>
      </c>
      <c r="I151" s="8">
        <f>3.66/124.5</f>
        <v>0.029397590361445784</v>
      </c>
    </row>
    <row r="152" spans="1:9" ht="11.25">
      <c r="A152" s="23" t="s">
        <v>18</v>
      </c>
      <c r="B152" s="8">
        <v>0.1</v>
      </c>
      <c r="C152" s="8">
        <v>0</v>
      </c>
      <c r="D152" s="8">
        <f>1/12</f>
        <v>0.08333333333333333</v>
      </c>
      <c r="E152" s="8">
        <f>2/15</f>
        <v>0.13333333333333333</v>
      </c>
      <c r="F152" s="8">
        <f t="shared" si="6"/>
        <v>0.18333333333333335</v>
      </c>
      <c r="G152" s="8">
        <f>0.18/94.5</f>
        <v>0.0019047619047619048</v>
      </c>
      <c r="H152" s="8">
        <f t="shared" si="7"/>
        <v>0.31666666666666665</v>
      </c>
      <c r="I152" s="8">
        <f>0.32/124.5</f>
        <v>0.002570281124497992</v>
      </c>
    </row>
    <row r="153" spans="1:9" ht="11.25">
      <c r="A153" s="23" t="s">
        <v>6</v>
      </c>
      <c r="B153" s="8">
        <v>5.95</v>
      </c>
      <c r="C153" s="8">
        <f>25/6</f>
        <v>4.166666666666667</v>
      </c>
      <c r="D153" s="8">
        <f>19/12</f>
        <v>1.5833333333333333</v>
      </c>
      <c r="E153" s="8">
        <f>136/15</f>
        <v>9.066666666666666</v>
      </c>
      <c r="F153" s="8">
        <f t="shared" si="6"/>
        <v>11.700000000000001</v>
      </c>
      <c r="G153" s="8">
        <f>11.7/94.5</f>
        <v>0.1238095238095238</v>
      </c>
      <c r="H153" s="8">
        <f t="shared" si="7"/>
        <v>20.766666666666666</v>
      </c>
      <c r="I153" s="8">
        <f>20.77/124.5</f>
        <v>0.16682730923694777</v>
      </c>
    </row>
    <row r="154" spans="1:9" ht="11.25">
      <c r="A154" s="23" t="s">
        <v>7</v>
      </c>
      <c r="B154" s="8">
        <v>0.35</v>
      </c>
      <c r="C154" s="8">
        <v>0</v>
      </c>
      <c r="D154" s="8">
        <v>0.25</v>
      </c>
      <c r="E154" s="8">
        <f>4/15</f>
        <v>0.26666666666666666</v>
      </c>
      <c r="F154" s="8">
        <f t="shared" si="6"/>
        <v>0.6</v>
      </c>
      <c r="G154" s="8">
        <f>0.6/94.5</f>
        <v>0.006349206349206349</v>
      </c>
      <c r="H154" s="8">
        <f t="shared" si="7"/>
        <v>0.8666666666666667</v>
      </c>
      <c r="I154" s="8">
        <f>0.87/124.5</f>
        <v>0.006987951807228916</v>
      </c>
    </row>
    <row r="155" spans="1:9" ht="11.25">
      <c r="A155" s="23" t="s">
        <v>15</v>
      </c>
      <c r="B155" s="8">
        <v>0</v>
      </c>
      <c r="C155" s="8">
        <v>0</v>
      </c>
      <c r="D155" s="8">
        <v>0</v>
      </c>
      <c r="E155" s="8">
        <f>1/15</f>
        <v>0.06666666666666667</v>
      </c>
      <c r="F155" s="8">
        <f t="shared" si="6"/>
        <v>0</v>
      </c>
      <c r="G155" s="8">
        <v>0</v>
      </c>
      <c r="H155" s="8">
        <f t="shared" si="7"/>
        <v>0.06666666666666667</v>
      </c>
      <c r="I155" s="8">
        <f>0.07/124.5</f>
        <v>0.0005622489959839358</v>
      </c>
    </row>
    <row r="156" spans="1:9" ht="11.25">
      <c r="A156" s="23" t="s">
        <v>16</v>
      </c>
      <c r="B156" s="8">
        <v>0.45</v>
      </c>
      <c r="C156" s="8">
        <v>0</v>
      </c>
      <c r="D156" s="8">
        <v>0</v>
      </c>
      <c r="E156" s="8">
        <f>1/15</f>
        <v>0.06666666666666667</v>
      </c>
      <c r="F156" s="8">
        <v>0.45</v>
      </c>
      <c r="G156" s="8">
        <f>0.45/94.5</f>
        <v>0.004761904761904762</v>
      </c>
      <c r="H156" s="8">
        <f t="shared" si="7"/>
        <v>0.5166666666666667</v>
      </c>
      <c r="I156" s="8">
        <f>0.52/124.5</f>
        <v>0.004176706827309237</v>
      </c>
    </row>
    <row r="157" spans="1:9" ht="11.25">
      <c r="A157" s="22" t="s">
        <v>24</v>
      </c>
      <c r="B157" s="8">
        <f aca="true" t="shared" si="8" ref="B157:I157">SUM(B145:B156)</f>
        <v>25.500000000000004</v>
      </c>
      <c r="C157" s="8">
        <f t="shared" si="8"/>
        <v>12.326666666666668</v>
      </c>
      <c r="D157" s="8">
        <f t="shared" si="8"/>
        <v>8.826666666666666</v>
      </c>
      <c r="E157" s="8">
        <f t="shared" si="8"/>
        <v>26.53333333333333</v>
      </c>
      <c r="F157" s="8">
        <f t="shared" si="8"/>
        <v>46.653333333333336</v>
      </c>
      <c r="G157" s="8">
        <f t="shared" si="8"/>
        <v>0.4936507936507936</v>
      </c>
      <c r="H157" s="8">
        <f t="shared" si="8"/>
        <v>73.18666666666667</v>
      </c>
      <c r="I157" s="8">
        <f t="shared" si="8"/>
        <v>0.5879518072289156</v>
      </c>
    </row>
    <row r="158" spans="1:5" ht="11.25">
      <c r="A158" s="22" t="s">
        <v>19</v>
      </c>
      <c r="B158" s="11">
        <v>20</v>
      </c>
      <c r="C158" s="11">
        <v>6</v>
      </c>
      <c r="D158" s="11">
        <v>12</v>
      </c>
      <c r="E158" s="11">
        <v>15</v>
      </c>
    </row>
    <row r="160" ht="11.25">
      <c r="A160" s="31" t="s">
        <v>40</v>
      </c>
    </row>
    <row r="161" spans="1:10" s="16" customFormat="1" ht="11.25">
      <c r="A161" s="32" t="s">
        <v>0</v>
      </c>
      <c r="B161" s="16" t="s">
        <v>21</v>
      </c>
      <c r="C161" s="16" t="s">
        <v>9</v>
      </c>
      <c r="D161" s="16" t="s">
        <v>10</v>
      </c>
      <c r="E161" s="16" t="s">
        <v>11</v>
      </c>
      <c r="F161" s="16" t="s">
        <v>12</v>
      </c>
      <c r="G161" s="16" t="s">
        <v>23</v>
      </c>
      <c r="H161" s="16" t="s">
        <v>26</v>
      </c>
      <c r="I161" s="16" t="s">
        <v>24</v>
      </c>
      <c r="J161" s="16" t="s">
        <v>25</v>
      </c>
    </row>
    <row r="162" spans="1:10" ht="11.25">
      <c r="A162" s="23" t="s">
        <v>4</v>
      </c>
      <c r="B162" s="8">
        <v>3</v>
      </c>
      <c r="C162" s="8">
        <f>12/11</f>
        <v>1.0909090909090908</v>
      </c>
      <c r="D162" s="8">
        <f>9/11</f>
        <v>0.8181818181818182</v>
      </c>
      <c r="E162" s="8">
        <f>13/12</f>
        <v>1.0833333333333333</v>
      </c>
      <c r="F162" s="8">
        <f>3/7</f>
        <v>0.42857142857142855</v>
      </c>
      <c r="G162" s="8">
        <f aca="true" t="shared" si="9" ref="G162:G174">SUM(B162:D162)</f>
        <v>4.909090909090909</v>
      </c>
      <c r="H162" s="8">
        <f>4.91/94.5</f>
        <v>0.05195767195767196</v>
      </c>
      <c r="I162" s="8">
        <f aca="true" t="shared" si="10" ref="I162:I173">SUM(B162:F162)</f>
        <v>6.420995670995671</v>
      </c>
      <c r="J162" s="8">
        <f>6.42/144.5</f>
        <v>0.04442906574394464</v>
      </c>
    </row>
    <row r="163" spans="1:10" ht="11.25">
      <c r="A163" s="23" t="s">
        <v>5</v>
      </c>
      <c r="B163" s="8">
        <v>2.6</v>
      </c>
      <c r="C163" s="8">
        <f>10/11</f>
        <v>0.9090909090909091</v>
      </c>
      <c r="D163" s="8">
        <f>7/11</f>
        <v>0.6363636363636364</v>
      </c>
      <c r="E163" s="8">
        <f>11/12</f>
        <v>0.9166666666666666</v>
      </c>
      <c r="F163" s="8">
        <f>5/7</f>
        <v>0.7142857142857143</v>
      </c>
      <c r="G163" s="8">
        <f t="shared" si="9"/>
        <v>4.1454545454545455</v>
      </c>
      <c r="H163" s="8">
        <f>4.15/94.5</f>
        <v>0.04391534391534392</v>
      </c>
      <c r="I163" s="8">
        <f t="shared" si="10"/>
        <v>5.776406926406927</v>
      </c>
      <c r="J163" s="8">
        <f>5.78/144.5</f>
        <v>0.04</v>
      </c>
    </row>
    <row r="164" spans="1:10" ht="11.25">
      <c r="A164" s="23" t="s">
        <v>3</v>
      </c>
      <c r="B164" s="8">
        <v>10.1</v>
      </c>
      <c r="C164" s="8">
        <f>55/11</f>
        <v>5</v>
      </c>
      <c r="D164" s="8">
        <f>55/11</f>
        <v>5</v>
      </c>
      <c r="E164" s="8">
        <f>110/12</f>
        <v>9.166666666666666</v>
      </c>
      <c r="F164" s="8">
        <f>37/7</f>
        <v>5.285714285714286</v>
      </c>
      <c r="G164" s="8">
        <f t="shared" si="9"/>
        <v>20.1</v>
      </c>
      <c r="H164" s="8">
        <f>20.1/94.5</f>
        <v>0.21269841269841272</v>
      </c>
      <c r="I164" s="8">
        <f t="shared" si="10"/>
        <v>34.55238095238095</v>
      </c>
      <c r="J164" s="8">
        <f>34.55/144.5</f>
        <v>0.23910034602076122</v>
      </c>
    </row>
    <row r="165" spans="1:10" ht="11.25">
      <c r="A165" s="23" t="s">
        <v>1</v>
      </c>
      <c r="B165" s="8">
        <v>1.3</v>
      </c>
      <c r="C165" s="8">
        <f>9/11</f>
        <v>0.8181818181818182</v>
      </c>
      <c r="D165" s="8">
        <f>6/11</f>
        <v>0.5454545454545454</v>
      </c>
      <c r="E165" s="8">
        <f>15/12</f>
        <v>1.25</v>
      </c>
      <c r="F165" s="8">
        <f>11/7</f>
        <v>1.5714285714285714</v>
      </c>
      <c r="G165" s="8">
        <f t="shared" si="9"/>
        <v>2.6636363636363636</v>
      </c>
      <c r="H165" s="8">
        <f>2.66/94.5</f>
        <v>0.02814814814814815</v>
      </c>
      <c r="I165" s="8">
        <f t="shared" si="10"/>
        <v>5.485064935064935</v>
      </c>
      <c r="J165" s="8">
        <f>5.49/144.5</f>
        <v>0.03799307958477509</v>
      </c>
    </row>
    <row r="166" spans="1:10" ht="11.25">
      <c r="A166" s="23" t="s">
        <v>2</v>
      </c>
      <c r="B166" s="8">
        <v>1.6</v>
      </c>
      <c r="C166" s="8">
        <f>0/11</f>
        <v>0</v>
      </c>
      <c r="D166" s="8">
        <f>5/11</f>
        <v>0.45454545454545453</v>
      </c>
      <c r="E166" s="8">
        <f>2/12</f>
        <v>0.16666666666666666</v>
      </c>
      <c r="F166" s="8">
        <v>0</v>
      </c>
      <c r="G166" s="8">
        <f t="shared" si="9"/>
        <v>2.0545454545454547</v>
      </c>
      <c r="H166" s="8">
        <f>2.05/94.5</f>
        <v>0.02169312169312169</v>
      </c>
      <c r="I166" s="8">
        <f t="shared" si="10"/>
        <v>2.221212121212121</v>
      </c>
      <c r="J166" s="8">
        <f>2.22/144.5</f>
        <v>0.01536332179930796</v>
      </c>
    </row>
    <row r="167" spans="1:10" ht="11.25">
      <c r="A167" s="23" t="s">
        <v>17</v>
      </c>
      <c r="B167" s="8">
        <v>1.2</v>
      </c>
      <c r="C167" s="8">
        <f>16/11</f>
        <v>1.4545454545454546</v>
      </c>
      <c r="D167" s="8">
        <f>5/11</f>
        <v>0.45454545454545453</v>
      </c>
      <c r="E167" s="8">
        <f>12/12</f>
        <v>1</v>
      </c>
      <c r="F167" s="8">
        <f>3/7</f>
        <v>0.42857142857142855</v>
      </c>
      <c r="G167" s="8">
        <f t="shared" si="9"/>
        <v>3.109090909090909</v>
      </c>
      <c r="H167" s="8">
        <f>3.11/94.5</f>
        <v>0.03291005291005291</v>
      </c>
      <c r="I167" s="8">
        <f t="shared" si="10"/>
        <v>4.537662337662338</v>
      </c>
      <c r="J167" s="8">
        <f>4.54/144.5</f>
        <v>0.031418685121107265</v>
      </c>
    </row>
    <row r="168" spans="1:10" ht="11.25">
      <c r="A168" s="23" t="s">
        <v>13</v>
      </c>
      <c r="B168" s="8">
        <v>2.4</v>
      </c>
      <c r="C168" s="8">
        <f>3/11</f>
        <v>0.2727272727272727</v>
      </c>
      <c r="D168" s="8">
        <f>12/11</f>
        <v>1.0909090909090908</v>
      </c>
      <c r="E168" s="8">
        <f>5/12</f>
        <v>0.4166666666666667</v>
      </c>
      <c r="F168" s="8">
        <v>0</v>
      </c>
      <c r="G168" s="8">
        <f t="shared" si="9"/>
        <v>3.7636363636363637</v>
      </c>
      <c r="H168" s="8">
        <f>3.76/94.5</f>
        <v>0.03978835978835979</v>
      </c>
      <c r="I168" s="8">
        <f t="shared" si="10"/>
        <v>4.180303030303031</v>
      </c>
      <c r="J168" s="8">
        <f>4.18/144.5</f>
        <v>0.028927335640138406</v>
      </c>
    </row>
    <row r="169" spans="1:10" ht="11.25">
      <c r="A169" s="23" t="s">
        <v>18</v>
      </c>
      <c r="B169" s="8">
        <v>0.3</v>
      </c>
      <c r="C169" s="8">
        <v>0</v>
      </c>
      <c r="D169" s="8">
        <v>0</v>
      </c>
      <c r="E169" s="8">
        <f>1/12</f>
        <v>0.08333333333333333</v>
      </c>
      <c r="F169" s="8">
        <v>0</v>
      </c>
      <c r="G169" s="8">
        <f t="shared" si="9"/>
        <v>0.3</v>
      </c>
      <c r="H169" s="8">
        <f>0.3/94.5</f>
        <v>0.0031746031746031746</v>
      </c>
      <c r="I169" s="8">
        <f t="shared" si="10"/>
        <v>0.3833333333333333</v>
      </c>
      <c r="J169" s="8">
        <f>0.38/144.5</f>
        <v>0.002629757785467128</v>
      </c>
    </row>
    <row r="170" spans="1:10" ht="11.25">
      <c r="A170" s="23" t="s">
        <v>6</v>
      </c>
      <c r="B170" s="8">
        <v>7.5</v>
      </c>
      <c r="C170" s="8">
        <f>51/11</f>
        <v>4.636363636363637</v>
      </c>
      <c r="D170" s="8">
        <f>26/11</f>
        <v>2.3636363636363638</v>
      </c>
      <c r="E170" s="8">
        <f>106/12</f>
        <v>8.833333333333334</v>
      </c>
      <c r="F170" s="8">
        <f>18/7</f>
        <v>2.5714285714285716</v>
      </c>
      <c r="G170" s="8">
        <f t="shared" si="9"/>
        <v>14.5</v>
      </c>
      <c r="H170" s="8">
        <f>14.5/94.5</f>
        <v>0.15343915343915343</v>
      </c>
      <c r="I170" s="8">
        <f t="shared" si="10"/>
        <v>25.90476190476191</v>
      </c>
      <c r="J170" s="8">
        <f>25.9/144.5</f>
        <v>0.17923875432525951</v>
      </c>
    </row>
    <row r="171" spans="1:10" ht="11.25">
      <c r="A171" s="23" t="s">
        <v>7</v>
      </c>
      <c r="B171" s="8">
        <v>0.2</v>
      </c>
      <c r="C171" s="8">
        <f>2/11</f>
        <v>0.18181818181818182</v>
      </c>
      <c r="D171" s="8">
        <v>0</v>
      </c>
      <c r="E171" s="8">
        <v>0</v>
      </c>
      <c r="F171" s="8">
        <f>3/7</f>
        <v>0.42857142857142855</v>
      </c>
      <c r="G171" s="8">
        <f t="shared" si="9"/>
        <v>0.38181818181818183</v>
      </c>
      <c r="H171" s="8">
        <f>0.38/94.5</f>
        <v>0.004021164021164021</v>
      </c>
      <c r="I171" s="8">
        <f t="shared" si="10"/>
        <v>0.8103896103896104</v>
      </c>
      <c r="J171" s="8">
        <f>0.81/144.5</f>
        <v>0.0056055363321799315</v>
      </c>
    </row>
    <row r="172" spans="1:10" ht="11.25">
      <c r="A172" s="23" t="s">
        <v>15</v>
      </c>
      <c r="B172" s="8">
        <v>0</v>
      </c>
      <c r="C172" s="8">
        <v>0</v>
      </c>
      <c r="D172" s="8">
        <v>0</v>
      </c>
      <c r="E172" s="8">
        <v>0</v>
      </c>
      <c r="F172" s="8">
        <v>0</v>
      </c>
      <c r="G172" s="8">
        <f t="shared" si="9"/>
        <v>0</v>
      </c>
      <c r="H172" s="8">
        <v>0</v>
      </c>
      <c r="I172" s="8">
        <f t="shared" si="10"/>
        <v>0</v>
      </c>
      <c r="J172" s="8">
        <v>0</v>
      </c>
    </row>
    <row r="173" spans="1:10" ht="11.25">
      <c r="A173" s="23" t="s">
        <v>16</v>
      </c>
      <c r="B173" s="8">
        <v>0.5</v>
      </c>
      <c r="C173" s="8">
        <v>0</v>
      </c>
      <c r="D173" s="8">
        <f>1/11</f>
        <v>0.09090909090909091</v>
      </c>
      <c r="E173" s="8">
        <f>1/12</f>
        <v>0.08333333333333333</v>
      </c>
      <c r="F173" s="8">
        <v>0</v>
      </c>
      <c r="G173" s="8">
        <f t="shared" si="9"/>
        <v>0.5909090909090909</v>
      </c>
      <c r="H173" s="8">
        <f>0.59/94.5</f>
        <v>0.006243386243386243</v>
      </c>
      <c r="I173" s="8">
        <f t="shared" si="10"/>
        <v>0.6742424242424243</v>
      </c>
      <c r="J173" s="8">
        <f>0.67/144.5</f>
        <v>0.004636678200692042</v>
      </c>
    </row>
    <row r="174" spans="1:10" ht="11.25">
      <c r="A174" s="22" t="s">
        <v>24</v>
      </c>
      <c r="B174" s="8">
        <f>SUM(B162:B173)</f>
        <v>30.7</v>
      </c>
      <c r="C174" s="8">
        <f>SUM(C162:C173)</f>
        <v>14.363636363636365</v>
      </c>
      <c r="D174" s="8">
        <f>SUM(D162:D173)</f>
        <v>11.454545454545455</v>
      </c>
      <c r="E174" s="8">
        <f>SUM(E162:E173)</f>
        <v>22.999999999999996</v>
      </c>
      <c r="F174" s="8">
        <f>SUM(F162:F173)</f>
        <v>11.428571428571429</v>
      </c>
      <c r="G174" s="8">
        <f t="shared" si="9"/>
        <v>56.518181818181816</v>
      </c>
      <c r="H174" s="8">
        <f>56.52/94.5</f>
        <v>0.5980952380952381</v>
      </c>
      <c r="I174" s="8">
        <f>SUM(I162:I173)</f>
        <v>90.94675324675323</v>
      </c>
      <c r="J174" s="8">
        <f>90.95/144.5</f>
        <v>0.6294117647058823</v>
      </c>
    </row>
    <row r="175" spans="1:6" ht="11.25">
      <c r="A175" s="22" t="s">
        <v>19</v>
      </c>
      <c r="B175" s="11">
        <v>10</v>
      </c>
      <c r="C175" s="11">
        <v>11</v>
      </c>
      <c r="D175" s="11">
        <v>11</v>
      </c>
      <c r="E175" s="11">
        <v>12</v>
      </c>
      <c r="F175" s="11">
        <v>7</v>
      </c>
    </row>
    <row r="177" ht="11.25">
      <c r="A177" s="31" t="s">
        <v>41</v>
      </c>
    </row>
    <row r="178" spans="1:10" s="16" customFormat="1" ht="11.25">
      <c r="A178" s="32" t="s">
        <v>0</v>
      </c>
      <c r="B178" s="16" t="s">
        <v>21</v>
      </c>
      <c r="C178" s="16" t="s">
        <v>9</v>
      </c>
      <c r="D178" s="16" t="s">
        <v>10</v>
      </c>
      <c r="E178" s="16" t="s">
        <v>11</v>
      </c>
      <c r="F178" s="16" t="s">
        <v>12</v>
      </c>
      <c r="G178" s="16" t="s">
        <v>23</v>
      </c>
      <c r="H178" s="16" t="s">
        <v>26</v>
      </c>
      <c r="I178" s="16" t="s">
        <v>24</v>
      </c>
      <c r="J178" s="16" t="s">
        <v>25</v>
      </c>
    </row>
    <row r="179" spans="1:10" ht="11.25">
      <c r="A179" s="23" t="s">
        <v>4</v>
      </c>
      <c r="B179" s="8">
        <v>2.5</v>
      </c>
      <c r="C179" s="8">
        <v>1</v>
      </c>
      <c r="D179" s="8">
        <f>4/9</f>
        <v>0.4444444444444444</v>
      </c>
      <c r="E179" s="8">
        <v>0.3</v>
      </c>
      <c r="F179" s="8">
        <f>11/15</f>
        <v>0.7333333333333333</v>
      </c>
      <c r="G179" s="8">
        <v>3.944</v>
      </c>
      <c r="H179" s="8">
        <f>3.94/94.5</f>
        <v>0.04169312169312169</v>
      </c>
      <c r="I179" s="8">
        <f aca="true" t="shared" si="11" ref="I179:I188">SUM(B179:F179)</f>
        <v>4.977777777777778</v>
      </c>
      <c r="J179" s="8">
        <f>4.98/144.5</f>
        <v>0.03446366782006921</v>
      </c>
    </row>
    <row r="180" spans="1:10" ht="11.25">
      <c r="A180" s="23" t="s">
        <v>5</v>
      </c>
      <c r="B180" s="8">
        <v>1.571</v>
      </c>
      <c r="C180" s="8">
        <v>0.33</v>
      </c>
      <c r="D180" s="8">
        <f>2/9</f>
        <v>0.2222222222222222</v>
      </c>
      <c r="E180" s="8">
        <v>0.3</v>
      </c>
      <c r="F180" s="8">
        <f>2/15</f>
        <v>0.13333333333333333</v>
      </c>
      <c r="G180" s="8">
        <v>2.076</v>
      </c>
      <c r="H180" s="8">
        <f>2.076/94.5</f>
        <v>0.02196825396825397</v>
      </c>
      <c r="I180" s="8">
        <f t="shared" si="11"/>
        <v>2.5565555555555552</v>
      </c>
      <c r="J180" s="8">
        <f>2.56/145</f>
        <v>0.017655172413793104</v>
      </c>
    </row>
    <row r="181" spans="1:10" ht="11.25">
      <c r="A181" s="23" t="s">
        <v>3</v>
      </c>
      <c r="B181" s="8">
        <v>11.71</v>
      </c>
      <c r="C181" s="8">
        <f>53/9</f>
        <v>5.888888888888889</v>
      </c>
      <c r="D181" s="8">
        <f>34/9</f>
        <v>3.7777777777777777</v>
      </c>
      <c r="E181" s="8">
        <v>9.7</v>
      </c>
      <c r="F181" s="8">
        <f>59/15</f>
        <v>3.933333333333333</v>
      </c>
      <c r="G181" s="8">
        <f>SUM(B181:D181)</f>
        <v>21.37666666666667</v>
      </c>
      <c r="H181" s="8">
        <f>21.376/94.5</f>
        <v>0.2262010582010582</v>
      </c>
      <c r="I181" s="8">
        <f t="shared" si="11"/>
        <v>35.01</v>
      </c>
      <c r="J181" s="8">
        <f>35.01/145</f>
        <v>0.24144827586206896</v>
      </c>
    </row>
    <row r="182" spans="1:10" ht="11.25">
      <c r="A182" s="23" t="s">
        <v>1</v>
      </c>
      <c r="B182" s="8">
        <v>1</v>
      </c>
      <c r="C182" s="8">
        <f>3/9</f>
        <v>0.3333333333333333</v>
      </c>
      <c r="D182" s="8">
        <f>1/9</f>
        <v>0.1111111111111111</v>
      </c>
      <c r="E182" s="8">
        <v>0.9</v>
      </c>
      <c r="F182" s="8">
        <f>15/15</f>
        <v>1</v>
      </c>
      <c r="G182" s="8">
        <v>1.444</v>
      </c>
      <c r="H182" s="8">
        <f>1.444/94.5</f>
        <v>0.01528042328042328</v>
      </c>
      <c r="I182" s="8">
        <f t="shared" si="11"/>
        <v>3.3444444444444446</v>
      </c>
      <c r="J182" s="8">
        <f>3.34/145</f>
        <v>0.02303448275862069</v>
      </c>
    </row>
    <row r="183" spans="1:10" ht="11.25">
      <c r="A183" s="23" t="s">
        <v>2</v>
      </c>
      <c r="B183" s="8">
        <v>0.857</v>
      </c>
      <c r="C183" s="8">
        <v>0</v>
      </c>
      <c r="D183" s="8">
        <v>0</v>
      </c>
      <c r="E183" s="8">
        <v>0.1</v>
      </c>
      <c r="F183" s="8">
        <f>4/15</f>
        <v>0.26666666666666666</v>
      </c>
      <c r="G183" s="8">
        <v>0.857</v>
      </c>
      <c r="H183" s="8">
        <f>0.857/94.5</f>
        <v>0.009068783068783068</v>
      </c>
      <c r="I183" s="8">
        <f t="shared" si="11"/>
        <v>1.2236666666666667</v>
      </c>
      <c r="J183" s="8">
        <f>1.22/145</f>
        <v>0.008413793103448275</v>
      </c>
    </row>
    <row r="184" spans="1:10" ht="11.25">
      <c r="A184" s="23" t="s">
        <v>17</v>
      </c>
      <c r="B184" s="8">
        <v>1.428</v>
      </c>
      <c r="C184" s="8">
        <f>10/9</f>
        <v>1.1111111111111112</v>
      </c>
      <c r="D184" s="8">
        <f>2/9</f>
        <v>0.2222222222222222</v>
      </c>
      <c r="E184" s="8">
        <v>0.6</v>
      </c>
      <c r="F184" s="8">
        <f>9/15</f>
        <v>0.6</v>
      </c>
      <c r="G184" s="8">
        <v>1.761</v>
      </c>
      <c r="H184" s="8">
        <f>1.76/94.5</f>
        <v>0.018624338624338623</v>
      </c>
      <c r="I184" s="8">
        <f t="shared" si="11"/>
        <v>3.9613333333333336</v>
      </c>
      <c r="J184" s="8">
        <f>3.96/145</f>
        <v>0.027310344827586208</v>
      </c>
    </row>
    <row r="185" spans="1:10" ht="11.25">
      <c r="A185" s="23" t="s">
        <v>13</v>
      </c>
      <c r="B185" s="8">
        <v>1</v>
      </c>
      <c r="C185" s="8">
        <f>5/9</f>
        <v>0.5555555555555556</v>
      </c>
      <c r="D185" s="8">
        <f>14/9</f>
        <v>1.5555555555555556</v>
      </c>
      <c r="E185" s="8">
        <v>0.2</v>
      </c>
      <c r="F185" s="8">
        <v>0</v>
      </c>
      <c r="G185" s="8">
        <v>3.111</v>
      </c>
      <c r="H185" s="8">
        <f>3.11/94.5</f>
        <v>0.03291005291005291</v>
      </c>
      <c r="I185" s="8">
        <f t="shared" si="11"/>
        <v>3.3111111111111113</v>
      </c>
      <c r="J185" s="8">
        <f>3.31/145</f>
        <v>0.022827586206896552</v>
      </c>
    </row>
    <row r="186" spans="1:10" ht="11.25">
      <c r="A186" s="23" t="s">
        <v>18</v>
      </c>
      <c r="B186" s="8">
        <v>0</v>
      </c>
      <c r="C186" s="8">
        <f>1/9</f>
        <v>0.1111111111111111</v>
      </c>
      <c r="D186" s="8">
        <v>0</v>
      </c>
      <c r="E186" s="8">
        <v>0</v>
      </c>
      <c r="F186" s="8">
        <v>0</v>
      </c>
      <c r="G186" s="8">
        <v>0.111</v>
      </c>
      <c r="H186" s="8">
        <f>0.11/94.5</f>
        <v>0.001164021164021164</v>
      </c>
      <c r="I186" s="8">
        <f t="shared" si="11"/>
        <v>0.1111111111111111</v>
      </c>
      <c r="J186" s="8">
        <f>0.11/145</f>
        <v>0.0007586206896551724</v>
      </c>
    </row>
    <row r="187" spans="1:10" ht="11.25">
      <c r="A187" s="23" t="s">
        <v>6</v>
      </c>
      <c r="B187" s="8">
        <v>7.214</v>
      </c>
      <c r="C187" s="8">
        <f>25/9</f>
        <v>2.7777777777777777</v>
      </c>
      <c r="D187" s="8">
        <f>15/9</f>
        <v>1.6666666666666667</v>
      </c>
      <c r="E187" s="8">
        <v>9.3</v>
      </c>
      <c r="F187" s="8">
        <f>83/15</f>
        <v>5.533333333333333</v>
      </c>
      <c r="G187" s="8">
        <f>SUM(B187:D187)</f>
        <v>11.658444444444443</v>
      </c>
      <c r="H187" s="8">
        <f>11.66/94.5</f>
        <v>0.12338624338624339</v>
      </c>
      <c r="I187" s="8">
        <f t="shared" si="11"/>
        <v>26.491777777777777</v>
      </c>
      <c r="J187" s="8">
        <f>26.49/145</f>
        <v>0.18268965517241378</v>
      </c>
    </row>
    <row r="188" spans="1:10" ht="11.25">
      <c r="A188" s="23" t="s">
        <v>7</v>
      </c>
      <c r="B188" s="8">
        <v>0.285</v>
      </c>
      <c r="C188" s="8">
        <v>0</v>
      </c>
      <c r="D188" s="8">
        <v>0</v>
      </c>
      <c r="E188" s="8">
        <v>0.3</v>
      </c>
      <c r="F188" s="8">
        <f>4/15</f>
        <v>0.26666666666666666</v>
      </c>
      <c r="G188" s="8">
        <v>0.285</v>
      </c>
      <c r="H188" s="8">
        <f>0.29/94.5</f>
        <v>0.0030687830687830685</v>
      </c>
      <c r="I188" s="8">
        <f t="shared" si="11"/>
        <v>0.8516666666666666</v>
      </c>
      <c r="J188" s="8">
        <f>0.85/145</f>
        <v>0.0058620689655172415</v>
      </c>
    </row>
    <row r="189" spans="1:10" ht="11.25">
      <c r="A189" s="23" t="s">
        <v>15</v>
      </c>
      <c r="B189" s="8">
        <v>0.143</v>
      </c>
      <c r="C189" s="8">
        <v>0</v>
      </c>
      <c r="D189" s="8">
        <v>0</v>
      </c>
      <c r="E189" s="8">
        <v>0</v>
      </c>
      <c r="F189" s="8">
        <v>0</v>
      </c>
      <c r="G189" s="8">
        <v>0.143</v>
      </c>
      <c r="H189" s="8">
        <f>0.143/94.5</f>
        <v>0.001513227513227513</v>
      </c>
      <c r="I189" s="8">
        <v>0.143</v>
      </c>
      <c r="J189" s="8">
        <f>0.14/145</f>
        <v>0.0009655172413793105</v>
      </c>
    </row>
    <row r="190" spans="1:10" ht="11.25">
      <c r="A190" s="23" t="s">
        <v>16</v>
      </c>
      <c r="B190" s="8">
        <v>0.714</v>
      </c>
      <c r="C190" s="8">
        <f>1/9</f>
        <v>0.1111111111111111</v>
      </c>
      <c r="D190" s="8">
        <f>1/9</f>
        <v>0.1111111111111111</v>
      </c>
      <c r="E190" s="8">
        <v>0.1</v>
      </c>
      <c r="F190" s="8">
        <f>2/15</f>
        <v>0.13333333333333333</v>
      </c>
      <c r="G190" s="8">
        <f>SUM(B190:D190)</f>
        <v>0.9362222222222223</v>
      </c>
      <c r="H190" s="8">
        <f>0.936/94.5</f>
        <v>0.009904761904761906</v>
      </c>
      <c r="I190" s="8">
        <f>SUM(B190:F190)</f>
        <v>1.1695555555555557</v>
      </c>
      <c r="J190" s="8">
        <f>1.7/145</f>
        <v>0.011724137931034483</v>
      </c>
    </row>
    <row r="191" spans="1:10" ht="11.25">
      <c r="A191" s="22" t="s">
        <v>24</v>
      </c>
      <c r="B191" s="8">
        <f aca="true" t="shared" si="12" ref="B191:G191">SUM(B179:B190)</f>
        <v>28.422</v>
      </c>
      <c r="C191" s="8">
        <f t="shared" si="12"/>
        <v>12.218888888888888</v>
      </c>
      <c r="D191" s="8">
        <f t="shared" si="12"/>
        <v>8.11111111111111</v>
      </c>
      <c r="E191" s="8">
        <f t="shared" si="12"/>
        <v>21.8</v>
      </c>
      <c r="F191" s="8">
        <f t="shared" si="12"/>
        <v>12.6</v>
      </c>
      <c r="G191" s="8">
        <f t="shared" si="12"/>
        <v>47.70333333333332</v>
      </c>
      <c r="H191" s="8">
        <f>47.7/94.5</f>
        <v>0.5047619047619047</v>
      </c>
      <c r="I191" s="8">
        <f>SUM(B191:F191)</f>
        <v>83.15199999999999</v>
      </c>
      <c r="J191" s="8">
        <f>83.15/145</f>
        <v>0.573448275862069</v>
      </c>
    </row>
    <row r="192" spans="1:10" ht="11.25">
      <c r="A192" s="26" t="s">
        <v>19</v>
      </c>
      <c r="B192" s="27">
        <v>7</v>
      </c>
      <c r="C192" s="27">
        <v>9</v>
      </c>
      <c r="D192" s="27">
        <v>9</v>
      </c>
      <c r="E192" s="27">
        <v>10</v>
      </c>
      <c r="F192" s="27">
        <v>15</v>
      </c>
      <c r="G192" s="8"/>
      <c r="H192" s="8"/>
      <c r="I192" s="8"/>
      <c r="J192" s="8"/>
    </row>
    <row r="194" ht="11.25">
      <c r="A194" s="31" t="s">
        <v>43</v>
      </c>
    </row>
    <row r="195" spans="1:10" s="16" customFormat="1" ht="11.25">
      <c r="A195" s="32" t="s">
        <v>0</v>
      </c>
      <c r="B195" s="16" t="s">
        <v>21</v>
      </c>
      <c r="C195" s="16" t="s">
        <v>9</v>
      </c>
      <c r="D195" s="16" t="s">
        <v>10</v>
      </c>
      <c r="E195" s="16" t="s">
        <v>11</v>
      </c>
      <c r="F195" s="16" t="s">
        <v>12</v>
      </c>
      <c r="G195" s="16" t="s">
        <v>23</v>
      </c>
      <c r="H195" s="16" t="s">
        <v>26</v>
      </c>
      <c r="I195" s="16" t="s">
        <v>24</v>
      </c>
      <c r="J195" s="16" t="s">
        <v>25</v>
      </c>
    </row>
    <row r="196" spans="1:10" ht="11.25">
      <c r="A196" s="23" t="s">
        <v>4</v>
      </c>
      <c r="B196" s="8">
        <v>3.449</v>
      </c>
      <c r="C196" s="8">
        <f>16/11</f>
        <v>1.4545454545454546</v>
      </c>
      <c r="D196" s="8">
        <f>5/6</f>
        <v>0.8333333333333334</v>
      </c>
      <c r="E196" s="8">
        <f>15/7</f>
        <v>2.142857142857143</v>
      </c>
      <c r="F196" s="8">
        <v>0.1</v>
      </c>
      <c r="G196" s="8">
        <f>SUM(B196:D196)</f>
        <v>5.736878787878788</v>
      </c>
      <c r="H196" s="8">
        <f>5.74/94.5</f>
        <v>0.06074074074074074</v>
      </c>
      <c r="I196" s="8">
        <f aca="true" t="shared" si="13" ref="I196:I205">SUM(B196:F196)</f>
        <v>7.979735930735931</v>
      </c>
      <c r="J196" s="8">
        <f>7.98/145</f>
        <v>0.05503448275862069</v>
      </c>
    </row>
    <row r="197" spans="1:10" ht="11.25">
      <c r="A197" s="23" t="s">
        <v>5</v>
      </c>
      <c r="B197" s="8">
        <v>2.08</v>
      </c>
      <c r="C197" s="8">
        <v>1</v>
      </c>
      <c r="D197" s="8">
        <v>0</v>
      </c>
      <c r="E197" s="8">
        <f>6/7</f>
        <v>0.8571428571428571</v>
      </c>
      <c r="F197" s="8">
        <v>0.7</v>
      </c>
      <c r="G197" s="8">
        <v>3.08</v>
      </c>
      <c r="H197" s="8">
        <f>3.08/94.5</f>
        <v>0.0325925925925926</v>
      </c>
      <c r="I197" s="8">
        <f t="shared" si="13"/>
        <v>4.637142857142857</v>
      </c>
      <c r="J197" s="8">
        <f>4.64/145</f>
        <v>0.032</v>
      </c>
    </row>
    <row r="198" spans="1:10" ht="11.25">
      <c r="A198" s="23" t="s">
        <v>3</v>
      </c>
      <c r="B198" s="8">
        <v>11.22</v>
      </c>
      <c r="C198" s="8">
        <f>64/11</f>
        <v>5.818181818181818</v>
      </c>
      <c r="D198" s="8">
        <f>23/6</f>
        <v>3.8333333333333335</v>
      </c>
      <c r="E198" s="8">
        <f>69/7</f>
        <v>9.857142857142858</v>
      </c>
      <c r="F198" s="8">
        <v>5.3</v>
      </c>
      <c r="G198" s="8">
        <f aca="true" t="shared" si="14" ref="G198:G208">SUM(B198:D198)</f>
        <v>20.87151515151515</v>
      </c>
      <c r="H198" s="8">
        <f>20.87/94.5</f>
        <v>0.22084656084656085</v>
      </c>
      <c r="I198" s="8">
        <f t="shared" si="13"/>
        <v>36.028658008658006</v>
      </c>
      <c r="J198" s="8">
        <f>36.03/145</f>
        <v>0.24848275862068966</v>
      </c>
    </row>
    <row r="199" spans="1:10" ht="11.25">
      <c r="A199" s="23" t="s">
        <v>1</v>
      </c>
      <c r="B199" s="8">
        <v>3.053</v>
      </c>
      <c r="C199" s="8">
        <f>6/11</f>
        <v>0.5454545454545454</v>
      </c>
      <c r="D199" s="8">
        <f>4/6</f>
        <v>0.6666666666666666</v>
      </c>
      <c r="E199" s="8">
        <f>4/7</f>
        <v>0.5714285714285714</v>
      </c>
      <c r="F199" s="8">
        <v>0.7</v>
      </c>
      <c r="G199" s="8">
        <f t="shared" si="14"/>
        <v>4.265121212121212</v>
      </c>
      <c r="H199" s="8">
        <f>4.27/94.5</f>
        <v>0.04518518518518518</v>
      </c>
      <c r="I199" s="8">
        <f t="shared" si="13"/>
        <v>5.536549783549783</v>
      </c>
      <c r="J199" s="8">
        <f>5.54/145</f>
        <v>0.038206896551724136</v>
      </c>
    </row>
    <row r="200" spans="1:10" ht="11.25">
      <c r="A200" s="23" t="s">
        <v>2</v>
      </c>
      <c r="B200" s="8">
        <v>2.78</v>
      </c>
      <c r="C200" s="8">
        <v>0</v>
      </c>
      <c r="D200" s="8">
        <f>1/6</f>
        <v>0.16666666666666666</v>
      </c>
      <c r="E200" s="8">
        <f>8/7</f>
        <v>1.1428571428571428</v>
      </c>
      <c r="F200" s="8">
        <v>0.7</v>
      </c>
      <c r="G200" s="8">
        <f t="shared" si="14"/>
        <v>2.9466666666666663</v>
      </c>
      <c r="H200" s="8">
        <f>2.95/94.5</f>
        <v>0.03121693121693122</v>
      </c>
      <c r="I200" s="8">
        <f t="shared" si="13"/>
        <v>4.78952380952381</v>
      </c>
      <c r="J200" s="8">
        <f>4.79/145</f>
        <v>0.03303448275862069</v>
      </c>
    </row>
    <row r="201" spans="1:10" ht="11.25">
      <c r="A201" s="23" t="s">
        <v>17</v>
      </c>
      <c r="B201" s="8">
        <v>2.658</v>
      </c>
      <c r="C201" s="8">
        <f>3/11</f>
        <v>0.2727272727272727</v>
      </c>
      <c r="D201" s="8">
        <f>2/6</f>
        <v>0.3333333333333333</v>
      </c>
      <c r="E201" s="8">
        <f>4/7</f>
        <v>0.5714285714285714</v>
      </c>
      <c r="F201" s="8">
        <v>0.8</v>
      </c>
      <c r="G201" s="8">
        <f t="shared" si="14"/>
        <v>3.2640606060606063</v>
      </c>
      <c r="H201" s="8">
        <f>3.26/94.5</f>
        <v>0.03449735449735449</v>
      </c>
      <c r="I201" s="8">
        <f t="shared" si="13"/>
        <v>4.635489177489178</v>
      </c>
      <c r="J201" s="8">
        <f>4.64/145</f>
        <v>0.032</v>
      </c>
    </row>
    <row r="202" spans="1:10" ht="11.25">
      <c r="A202" s="23" t="s">
        <v>13</v>
      </c>
      <c r="B202" s="8">
        <v>2.118</v>
      </c>
      <c r="C202" s="8">
        <f>9/11</f>
        <v>0.8181818181818182</v>
      </c>
      <c r="D202" s="8">
        <f>15/6</f>
        <v>2.5</v>
      </c>
      <c r="E202" s="8">
        <f>6/7</f>
        <v>0.8571428571428571</v>
      </c>
      <c r="F202" s="8">
        <v>0</v>
      </c>
      <c r="G202" s="8">
        <f t="shared" si="14"/>
        <v>5.436181818181819</v>
      </c>
      <c r="H202" s="8">
        <f>5.43/94.5</f>
        <v>0.057460317460317455</v>
      </c>
      <c r="I202" s="8">
        <f t="shared" si="13"/>
        <v>6.293324675324675</v>
      </c>
      <c r="J202" s="8">
        <f>6.29/145</f>
        <v>0.04337931034482759</v>
      </c>
    </row>
    <row r="203" spans="1:10" ht="11.25">
      <c r="A203" s="23" t="s">
        <v>18</v>
      </c>
      <c r="B203" s="8">
        <v>0.118</v>
      </c>
      <c r="C203" s="8">
        <f>1/11</f>
        <v>0.09090909090909091</v>
      </c>
      <c r="D203" s="8">
        <v>0</v>
      </c>
      <c r="E203" s="8">
        <v>0</v>
      </c>
      <c r="F203" s="8">
        <v>0</v>
      </c>
      <c r="G203" s="8">
        <f t="shared" si="14"/>
        <v>0.2089090909090909</v>
      </c>
      <c r="H203" s="8">
        <f>0.21/94.5</f>
        <v>0.0022222222222222222</v>
      </c>
      <c r="I203" s="8">
        <f t="shared" si="13"/>
        <v>0.2089090909090909</v>
      </c>
      <c r="J203" s="8">
        <f>0.21/145</f>
        <v>0.0014482758620689654</v>
      </c>
    </row>
    <row r="204" spans="1:10" ht="11.25">
      <c r="A204" s="23" t="s">
        <v>6</v>
      </c>
      <c r="B204" s="8">
        <v>9.599</v>
      </c>
      <c r="C204" s="8">
        <f>36/11</f>
        <v>3.272727272727273</v>
      </c>
      <c r="D204" s="8">
        <f>14/6</f>
        <v>2.3333333333333335</v>
      </c>
      <c r="E204" s="8">
        <f>92/7</f>
        <v>13.142857142857142</v>
      </c>
      <c r="F204" s="8">
        <v>5.8</v>
      </c>
      <c r="G204" s="8">
        <f t="shared" si="14"/>
        <v>15.205060606060607</v>
      </c>
      <c r="H204" s="8">
        <f>15.21/94.5</f>
        <v>0.16095238095238096</v>
      </c>
      <c r="I204" s="8">
        <f t="shared" si="13"/>
        <v>34.14791774891775</v>
      </c>
      <c r="J204" s="8">
        <f>34.15/145</f>
        <v>0.23551724137931032</v>
      </c>
    </row>
    <row r="205" spans="1:10" ht="11.25">
      <c r="A205" s="23" t="s">
        <v>7</v>
      </c>
      <c r="B205" s="8">
        <v>0.364</v>
      </c>
      <c r="C205" s="8">
        <f>3/11</f>
        <v>0.2727272727272727</v>
      </c>
      <c r="D205" s="8">
        <f>1/6</f>
        <v>0.16666666666666666</v>
      </c>
      <c r="E205" s="8">
        <f>6/7</f>
        <v>0.8571428571428571</v>
      </c>
      <c r="F205" s="8">
        <v>0.3</v>
      </c>
      <c r="G205" s="8">
        <f t="shared" si="14"/>
        <v>0.8033939393939393</v>
      </c>
      <c r="H205" s="8">
        <f>0.8/94.5</f>
        <v>0.008465608465608466</v>
      </c>
      <c r="I205" s="8">
        <f t="shared" si="13"/>
        <v>1.9605367965367966</v>
      </c>
      <c r="J205" s="8">
        <f>1.96/145</f>
        <v>0.013517241379310345</v>
      </c>
    </row>
    <row r="206" spans="1:10" ht="11.25">
      <c r="A206" s="23" t="s">
        <v>15</v>
      </c>
      <c r="B206" s="8">
        <v>0.208</v>
      </c>
      <c r="C206" s="8">
        <f>1/11</f>
        <v>0.09090909090909091</v>
      </c>
      <c r="D206" s="8">
        <v>0</v>
      </c>
      <c r="E206" s="8">
        <v>0</v>
      </c>
      <c r="F206" s="8">
        <v>0</v>
      </c>
      <c r="G206" s="8">
        <f t="shared" si="14"/>
        <v>0.2989090909090909</v>
      </c>
      <c r="H206" s="8">
        <f>0.29/94.5</f>
        <v>0.0030687830687830685</v>
      </c>
      <c r="I206" s="8">
        <v>0.299</v>
      </c>
      <c r="J206" s="8">
        <f>0.3/145</f>
        <v>0.0020689655172413794</v>
      </c>
    </row>
    <row r="207" spans="1:10" ht="11.25">
      <c r="A207" s="23" t="s">
        <v>16</v>
      </c>
      <c r="B207" s="8">
        <v>0.471</v>
      </c>
      <c r="C207" s="8">
        <f>2/11</f>
        <v>0.18181818181818182</v>
      </c>
      <c r="D207" s="8">
        <f>3/6</f>
        <v>0.5</v>
      </c>
      <c r="E207" s="8">
        <f>1/7</f>
        <v>0.14285714285714285</v>
      </c>
      <c r="F207" s="8">
        <v>0.1</v>
      </c>
      <c r="G207" s="8">
        <f t="shared" si="14"/>
        <v>1.1528181818181817</v>
      </c>
      <c r="H207" s="8">
        <f>1.15/94.5</f>
        <v>0.012169312169312168</v>
      </c>
      <c r="I207" s="8">
        <f>SUM(B207:F207)</f>
        <v>1.3956753246753246</v>
      </c>
      <c r="J207" s="8">
        <f>1.4/145</f>
        <v>0.009655172413793102</v>
      </c>
    </row>
    <row r="208" spans="1:10" ht="11.25">
      <c r="A208" s="22" t="s">
        <v>24</v>
      </c>
      <c r="B208" s="8">
        <f>SUM(B196:B207)</f>
        <v>38.117999999999995</v>
      </c>
      <c r="C208" s="8">
        <f>SUM(C196:C207)</f>
        <v>13.818181818181822</v>
      </c>
      <c r="D208" s="8">
        <f>SUM(D196:D207)</f>
        <v>11.333333333333334</v>
      </c>
      <c r="E208" s="8">
        <f>SUM(E196:E207)</f>
        <v>30.142857142857142</v>
      </c>
      <c r="F208" s="8">
        <f>SUM(F196:F207)</f>
        <v>14.500000000000002</v>
      </c>
      <c r="G208" s="8">
        <f t="shared" si="14"/>
        <v>63.26951515151515</v>
      </c>
      <c r="H208" s="8">
        <f>63.27/94.5</f>
        <v>0.6695238095238095</v>
      </c>
      <c r="I208" s="8">
        <f>SUM(B208:F208)</f>
        <v>107.91237229437229</v>
      </c>
      <c r="J208" s="8">
        <f>107.91/145</f>
        <v>0.7442068965517241</v>
      </c>
    </row>
    <row r="209" spans="1:6" ht="11.25">
      <c r="A209" s="22" t="s">
        <v>19</v>
      </c>
      <c r="B209" s="11">
        <v>11</v>
      </c>
      <c r="C209" s="11">
        <v>11</v>
      </c>
      <c r="D209" s="11">
        <v>6</v>
      </c>
      <c r="E209" s="11">
        <v>7</v>
      </c>
      <c r="F209" s="11">
        <v>10</v>
      </c>
    </row>
    <row r="211" ht="11.25">
      <c r="A211" s="31" t="s">
        <v>44</v>
      </c>
    </row>
    <row r="212" spans="1:6" s="16" customFormat="1" ht="11.25">
      <c r="A212" s="32" t="s">
        <v>0</v>
      </c>
      <c r="B212" s="16" t="s">
        <v>21</v>
      </c>
      <c r="C212" s="16" t="s">
        <v>9</v>
      </c>
      <c r="D212" s="16" t="s">
        <v>10</v>
      </c>
      <c r="E212" s="16" t="s">
        <v>11</v>
      </c>
      <c r="F212" s="16" t="s">
        <v>12</v>
      </c>
    </row>
    <row r="213" spans="1:10" ht="11.25">
      <c r="A213" s="23" t="s">
        <v>4</v>
      </c>
      <c r="B213" s="8">
        <v>6.269</v>
      </c>
      <c r="C213" s="8">
        <f>8/11</f>
        <v>0.7272727272727273</v>
      </c>
      <c r="D213" s="8">
        <v>0.5</v>
      </c>
      <c r="E213" s="8">
        <v>0.4</v>
      </c>
      <c r="F213" s="8">
        <v>1</v>
      </c>
      <c r="G213" s="8">
        <f aca="true" t="shared" si="15" ref="G213:G225">SUM(B213:D213)</f>
        <v>7.496272727272728</v>
      </c>
      <c r="H213" s="8">
        <f>7.49/95</f>
        <v>0.0788421052631579</v>
      </c>
      <c r="I213" s="8">
        <f aca="true" t="shared" si="16" ref="I213:I219">SUM(B213:F213)</f>
        <v>8.896272727272727</v>
      </c>
      <c r="J213" s="8">
        <f>8.9/145</f>
        <v>0.06137931034482759</v>
      </c>
    </row>
    <row r="214" spans="1:10" ht="11.25">
      <c r="A214" s="23" t="s">
        <v>5</v>
      </c>
      <c r="B214" s="8">
        <v>1.423</v>
      </c>
      <c r="C214" s="8">
        <f>5/11</f>
        <v>0.45454545454545453</v>
      </c>
      <c r="D214" s="8">
        <v>0.33</v>
      </c>
      <c r="E214" s="8">
        <f>25/15</f>
        <v>1.6666666666666667</v>
      </c>
      <c r="F214" s="8">
        <f>9/8</f>
        <v>1.125</v>
      </c>
      <c r="G214" s="8">
        <f t="shared" si="15"/>
        <v>2.2075454545454547</v>
      </c>
      <c r="H214" s="8">
        <f>2.207/95</f>
        <v>0.02323157894736842</v>
      </c>
      <c r="I214" s="8">
        <f t="shared" si="16"/>
        <v>4.999212121212121</v>
      </c>
      <c r="J214" s="8">
        <f>5/145</f>
        <v>0.034482758620689655</v>
      </c>
    </row>
    <row r="215" spans="1:10" ht="11.25">
      <c r="A215" s="23" t="s">
        <v>3</v>
      </c>
      <c r="B215" s="8">
        <v>12.705</v>
      </c>
      <c r="C215" s="8">
        <f>69/11</f>
        <v>6.2727272727272725</v>
      </c>
      <c r="D215" s="8">
        <f>59/12</f>
        <v>4.916666666666667</v>
      </c>
      <c r="E215" s="8">
        <f>132/15</f>
        <v>8.8</v>
      </c>
      <c r="F215" s="8">
        <f>68/8</f>
        <v>8.5</v>
      </c>
      <c r="G215" s="8">
        <f t="shared" si="15"/>
        <v>23.89439393939394</v>
      </c>
      <c r="H215" s="8">
        <f>23.89/95</f>
        <v>0.25147368421052635</v>
      </c>
      <c r="I215" s="8">
        <f t="shared" si="16"/>
        <v>41.19439393939394</v>
      </c>
      <c r="J215" s="8">
        <f>41.2/145</f>
        <v>0.28413793103448276</v>
      </c>
    </row>
    <row r="216" spans="1:10" ht="11.25">
      <c r="A216" s="23" t="s">
        <v>1</v>
      </c>
      <c r="B216" s="8">
        <v>2.833</v>
      </c>
      <c r="C216" s="8">
        <f>5/11</f>
        <v>0.45454545454545453</v>
      </c>
      <c r="D216" s="8">
        <f>11/12</f>
        <v>0.9166666666666666</v>
      </c>
      <c r="E216" s="8">
        <f>8/15</f>
        <v>0.5333333333333333</v>
      </c>
      <c r="F216" s="8">
        <f>10/8</f>
        <v>1.25</v>
      </c>
      <c r="G216" s="8">
        <f t="shared" si="15"/>
        <v>4.204212121212121</v>
      </c>
      <c r="H216" s="8">
        <f>4.204/95</f>
        <v>0.04425263157894736</v>
      </c>
      <c r="I216" s="8">
        <f t="shared" si="16"/>
        <v>5.9875454545454545</v>
      </c>
      <c r="J216" s="8">
        <f>5.99/145</f>
        <v>0.04131034482758621</v>
      </c>
    </row>
    <row r="217" spans="1:10" ht="11.25">
      <c r="A217" s="23" t="s">
        <v>2</v>
      </c>
      <c r="B217" s="8">
        <v>2.19</v>
      </c>
      <c r="C217" s="8">
        <f>1/11</f>
        <v>0.09090909090909091</v>
      </c>
      <c r="D217" s="8">
        <v>0.917</v>
      </c>
      <c r="E217" s="8">
        <f>29/15</f>
        <v>1.9333333333333333</v>
      </c>
      <c r="F217" s="8">
        <v>1</v>
      </c>
      <c r="G217" s="8">
        <f t="shared" si="15"/>
        <v>3.197909090909091</v>
      </c>
      <c r="H217" s="8">
        <f>3.197/95</f>
        <v>0.03365263157894737</v>
      </c>
      <c r="I217" s="8">
        <f t="shared" si="16"/>
        <v>6.131242424242425</v>
      </c>
      <c r="J217" s="8">
        <f>6.13/145</f>
        <v>0.04227586206896552</v>
      </c>
    </row>
    <row r="218" spans="1:10" ht="11.25">
      <c r="A218" s="23" t="s">
        <v>17</v>
      </c>
      <c r="B218" s="8">
        <v>2.436</v>
      </c>
      <c r="C218" s="8">
        <f>4/11</f>
        <v>0.36363636363636365</v>
      </c>
      <c r="D218" s="8">
        <v>0.917</v>
      </c>
      <c r="E218" s="8">
        <f>14/15</f>
        <v>0.9333333333333333</v>
      </c>
      <c r="F218" s="8">
        <v>1</v>
      </c>
      <c r="G218" s="8">
        <f t="shared" si="15"/>
        <v>3.716636363636364</v>
      </c>
      <c r="H218" s="8">
        <f>3.717/95</f>
        <v>0.03912631578947368</v>
      </c>
      <c r="I218" s="8">
        <f t="shared" si="16"/>
        <v>5.6499696969696975</v>
      </c>
      <c r="J218" s="8">
        <f>5.65/145</f>
        <v>0.03896551724137931</v>
      </c>
    </row>
    <row r="219" spans="1:10" ht="11.25">
      <c r="A219" s="23" t="s">
        <v>13</v>
      </c>
      <c r="B219" s="8">
        <v>4.269</v>
      </c>
      <c r="C219" s="8">
        <f>11/11</f>
        <v>1</v>
      </c>
      <c r="D219" s="8">
        <f>26/12</f>
        <v>2.1666666666666665</v>
      </c>
      <c r="E219" s="8">
        <f>4/15</f>
        <v>0.26666666666666666</v>
      </c>
      <c r="F219" s="8">
        <v>0.375</v>
      </c>
      <c r="G219" s="8">
        <f t="shared" si="15"/>
        <v>7.435666666666666</v>
      </c>
      <c r="H219" s="8">
        <f>7.436/95</f>
        <v>0.07827368421052631</v>
      </c>
      <c r="I219" s="8">
        <f t="shared" si="16"/>
        <v>8.077333333333332</v>
      </c>
      <c r="J219" s="8">
        <f>8.08/145</f>
        <v>0.055724137931034486</v>
      </c>
    </row>
    <row r="220" spans="1:10" ht="11.25">
      <c r="A220" s="23" t="s">
        <v>18</v>
      </c>
      <c r="B220" s="8">
        <v>1.081</v>
      </c>
      <c r="C220" s="8">
        <f>1/11</f>
        <v>0.09090909090909091</v>
      </c>
      <c r="D220" s="8">
        <v>0</v>
      </c>
      <c r="E220" s="8">
        <v>0</v>
      </c>
      <c r="F220" s="8">
        <v>0</v>
      </c>
      <c r="G220" s="8">
        <f t="shared" si="15"/>
        <v>1.1719090909090908</v>
      </c>
      <c r="H220" s="8">
        <f>1.171/95</f>
        <v>0.012326315789473685</v>
      </c>
      <c r="I220" s="8">
        <v>1.1719</v>
      </c>
      <c r="J220" s="8">
        <f>1.17/145</f>
        <v>0.008068965517241379</v>
      </c>
    </row>
    <row r="221" spans="1:10" ht="11.25">
      <c r="A221" s="23" t="s">
        <v>6</v>
      </c>
      <c r="B221" s="8">
        <v>9.459</v>
      </c>
      <c r="C221" s="8">
        <f>25/11</f>
        <v>2.272727272727273</v>
      </c>
      <c r="D221" s="8">
        <v>3</v>
      </c>
      <c r="E221" s="8">
        <f>136/15</f>
        <v>9.066666666666666</v>
      </c>
      <c r="F221" s="8">
        <f>54/8</f>
        <v>6.75</v>
      </c>
      <c r="G221" s="8">
        <f t="shared" si="15"/>
        <v>14.731727272727273</v>
      </c>
      <c r="H221" s="8">
        <f>14.731/95</f>
        <v>0.15506315789473685</v>
      </c>
      <c r="I221" s="8">
        <f>SUM(B221:F221)</f>
        <v>30.54839393939394</v>
      </c>
      <c r="J221" s="8">
        <f>30.55/145</f>
        <v>0.2106896551724138</v>
      </c>
    </row>
    <row r="222" spans="1:10" ht="11.25">
      <c r="A222" s="23" t="s">
        <v>7</v>
      </c>
      <c r="B222" s="8">
        <v>0.547</v>
      </c>
      <c r="C222" s="8">
        <f>1/11</f>
        <v>0.09090909090909091</v>
      </c>
      <c r="D222" s="8">
        <v>0</v>
      </c>
      <c r="E222" s="8">
        <f>3/15</f>
        <v>0.2</v>
      </c>
      <c r="F222" s="8">
        <f>2/8</f>
        <v>0.25</v>
      </c>
      <c r="G222" s="8">
        <f t="shared" si="15"/>
        <v>0.637909090909091</v>
      </c>
      <c r="H222" s="8">
        <f>0.638/94.5</f>
        <v>0.006751322751322751</v>
      </c>
      <c r="I222" s="8">
        <f>SUM(B222:F222)</f>
        <v>1.087909090909091</v>
      </c>
      <c r="J222" s="8">
        <f>1.088/145</f>
        <v>0.0075034482758620695</v>
      </c>
    </row>
    <row r="223" spans="1:10" ht="11.25">
      <c r="A223" s="23" t="s">
        <v>15</v>
      </c>
      <c r="B223" s="8">
        <v>0.626</v>
      </c>
      <c r="C223" s="8">
        <f>1/11</f>
        <v>0.09090909090909091</v>
      </c>
      <c r="D223" s="8">
        <v>0</v>
      </c>
      <c r="E223" s="8">
        <f>1/15</f>
        <v>0.06666666666666667</v>
      </c>
      <c r="F223" s="8">
        <v>0</v>
      </c>
      <c r="G223" s="8">
        <f t="shared" si="15"/>
        <v>0.7169090909090909</v>
      </c>
      <c r="H223" s="8">
        <f>0.717/95</f>
        <v>0.007547368421052632</v>
      </c>
      <c r="I223" s="8">
        <f>SUM(B223:F223)</f>
        <v>0.7835757575757576</v>
      </c>
      <c r="J223" s="8">
        <f>0.78/145</f>
        <v>0.005379310344827587</v>
      </c>
    </row>
    <row r="224" spans="1:10" ht="11.25">
      <c r="A224" s="23" t="s">
        <v>16</v>
      </c>
      <c r="B224" s="8">
        <v>0.659</v>
      </c>
      <c r="C224" s="8">
        <v>0</v>
      </c>
      <c r="D224" s="8">
        <f>3/12</f>
        <v>0.25</v>
      </c>
      <c r="E224" s="8">
        <f>1/15</f>
        <v>0.06666666666666667</v>
      </c>
      <c r="F224" s="8">
        <v>0.375</v>
      </c>
      <c r="G224" s="8">
        <f t="shared" si="15"/>
        <v>0.909</v>
      </c>
      <c r="H224" s="8">
        <f>0.91/95</f>
        <v>0.009578947368421053</v>
      </c>
      <c r="I224" s="8">
        <f>SUM(B224:F224)</f>
        <v>1.3506666666666667</v>
      </c>
      <c r="J224" s="8">
        <f>1.35/145</f>
        <v>0.009310344827586208</v>
      </c>
    </row>
    <row r="225" spans="1:10" ht="11.25">
      <c r="A225" s="23" t="s">
        <v>24</v>
      </c>
      <c r="B225" s="8">
        <f>SUM(B213:B224)</f>
        <v>44.497</v>
      </c>
      <c r="C225" s="8">
        <f>SUM(C213:C224)</f>
        <v>11.909090909090912</v>
      </c>
      <c r="D225" s="8">
        <f>SUM(D213:D224)</f>
        <v>13.914</v>
      </c>
      <c r="E225" s="8">
        <f>SUM(E213:E224)</f>
        <v>23.933333333333334</v>
      </c>
      <c r="F225" s="8">
        <f>SUM(F213:F224)</f>
        <v>21.625</v>
      </c>
      <c r="G225" s="8">
        <f t="shared" si="15"/>
        <v>70.32009090909091</v>
      </c>
      <c r="H225" s="8">
        <f>70.32/95</f>
        <v>0.7402105263157894</v>
      </c>
      <c r="I225" s="8">
        <f>SUM(B225:F225)</f>
        <v>115.87842424242424</v>
      </c>
      <c r="J225" s="8">
        <f>115.88/145</f>
        <v>0.7991724137931034</v>
      </c>
    </row>
    <row r="226" spans="1:6" ht="11.25">
      <c r="A226" s="22" t="s">
        <v>19</v>
      </c>
      <c r="B226" s="11">
        <v>14</v>
      </c>
      <c r="C226" s="11">
        <v>11</v>
      </c>
      <c r="D226" s="11">
        <v>12</v>
      </c>
      <c r="E226" s="11">
        <v>15</v>
      </c>
      <c r="F226" s="11">
        <v>8</v>
      </c>
    </row>
    <row r="228" ht="11.25">
      <c r="A228" s="31" t="s">
        <v>45</v>
      </c>
    </row>
    <row r="229" spans="1:10" s="16" customFormat="1" ht="11.25">
      <c r="A229" s="32" t="s">
        <v>0</v>
      </c>
      <c r="B229" s="16" t="s">
        <v>21</v>
      </c>
      <c r="C229" s="16" t="s">
        <v>9</v>
      </c>
      <c r="D229" s="16" t="s">
        <v>10</v>
      </c>
      <c r="E229" s="16" t="s">
        <v>11</v>
      </c>
      <c r="F229" s="16" t="s">
        <v>12</v>
      </c>
      <c r="G229" s="16" t="s">
        <v>23</v>
      </c>
      <c r="H229" s="16" t="s">
        <v>26</v>
      </c>
      <c r="I229" s="16" t="s">
        <v>24</v>
      </c>
      <c r="J229" s="16" t="s">
        <v>25</v>
      </c>
    </row>
    <row r="230" spans="1:10" ht="11.25">
      <c r="A230" s="23" t="s">
        <v>4</v>
      </c>
      <c r="B230" s="8">
        <v>6.164</v>
      </c>
      <c r="C230" s="8">
        <f>27/12</f>
        <v>2.25</v>
      </c>
      <c r="D230" s="8">
        <f>6/12</f>
        <v>0.5</v>
      </c>
      <c r="E230" s="8">
        <f>7/14</f>
        <v>0.5</v>
      </c>
      <c r="F230" s="8">
        <f>4/6</f>
        <v>0.6666666666666666</v>
      </c>
      <c r="G230" s="8">
        <f aca="true" t="shared" si="17" ref="G230:G242">SUM(B230:D230)</f>
        <v>8.914</v>
      </c>
      <c r="H230" s="8">
        <f>8.914/95</f>
        <v>0.09383157894736842</v>
      </c>
      <c r="I230" s="8">
        <f aca="true" t="shared" si="18" ref="I230:I236">SUM(B230:F230)</f>
        <v>10.080666666666666</v>
      </c>
      <c r="J230" s="8">
        <f>10.08/145</f>
        <v>0.06951724137931034</v>
      </c>
    </row>
    <row r="231" spans="1:10" ht="11.25">
      <c r="A231" s="23" t="s">
        <v>5</v>
      </c>
      <c r="B231" s="8">
        <v>1.283</v>
      </c>
      <c r="C231" s="8">
        <v>0</v>
      </c>
      <c r="D231" s="8">
        <v>0</v>
      </c>
      <c r="E231" s="8">
        <f>5/14</f>
        <v>0.35714285714285715</v>
      </c>
      <c r="F231" s="8">
        <v>0</v>
      </c>
      <c r="G231" s="8">
        <f t="shared" si="17"/>
        <v>1.283</v>
      </c>
      <c r="H231" s="8">
        <f>1.283/95</f>
        <v>0.013505263157894735</v>
      </c>
      <c r="I231" s="8">
        <f t="shared" si="18"/>
        <v>1.6401428571428571</v>
      </c>
      <c r="J231" s="8">
        <f>1.64/145</f>
        <v>0.011310344827586206</v>
      </c>
    </row>
    <row r="232" spans="1:10" ht="11.25">
      <c r="A232" s="23" t="s">
        <v>3</v>
      </c>
      <c r="B232" s="8">
        <v>12.664</v>
      </c>
      <c r="C232" s="8">
        <f>82/12</f>
        <v>6.833333333333333</v>
      </c>
      <c r="D232" s="8">
        <f>37/12</f>
        <v>3.0833333333333335</v>
      </c>
      <c r="E232" s="8">
        <f>100/14</f>
        <v>7.142857142857143</v>
      </c>
      <c r="F232" s="8">
        <f>26/6</f>
        <v>4.333333333333333</v>
      </c>
      <c r="G232" s="8">
        <f t="shared" si="17"/>
        <v>22.580666666666666</v>
      </c>
      <c r="H232" s="8">
        <f>22.58/94.5</f>
        <v>0.23894179894179893</v>
      </c>
      <c r="I232" s="8">
        <f t="shared" si="18"/>
        <v>34.05685714285714</v>
      </c>
      <c r="J232" s="8">
        <f>34.057/145</f>
        <v>0.23487586206896552</v>
      </c>
    </row>
    <row r="233" spans="1:10" ht="11.25">
      <c r="A233" s="23" t="s">
        <v>1</v>
      </c>
      <c r="B233" s="8">
        <v>2.811</v>
      </c>
      <c r="C233" s="8">
        <f>27/12</f>
        <v>2.25</v>
      </c>
      <c r="D233" s="8">
        <v>0.33</v>
      </c>
      <c r="E233" s="8">
        <f>4/14</f>
        <v>0.2857142857142857</v>
      </c>
      <c r="F233" s="8">
        <f>4/6</f>
        <v>0.6666666666666666</v>
      </c>
      <c r="G233" s="8">
        <f t="shared" si="17"/>
        <v>5.391</v>
      </c>
      <c r="H233" s="8">
        <f>5.39/94.5</f>
        <v>0.05703703703703703</v>
      </c>
      <c r="I233" s="8">
        <f t="shared" si="18"/>
        <v>6.343380952380953</v>
      </c>
      <c r="J233" s="8">
        <f>6.34/145</f>
        <v>0.04372413793103448</v>
      </c>
    </row>
    <row r="234" spans="1:10" ht="11.25">
      <c r="A234" s="23" t="s">
        <v>2</v>
      </c>
      <c r="B234" s="8">
        <v>1.871</v>
      </c>
      <c r="C234" s="8">
        <f>5/12</f>
        <v>0.4166666666666667</v>
      </c>
      <c r="D234" s="8">
        <v>0.25</v>
      </c>
      <c r="E234" s="8">
        <f>6/14</f>
        <v>0.42857142857142855</v>
      </c>
      <c r="F234" s="8">
        <f>4/6</f>
        <v>0.6666666666666666</v>
      </c>
      <c r="G234" s="8">
        <f t="shared" si="17"/>
        <v>2.5376666666666665</v>
      </c>
      <c r="H234" s="8">
        <f>2.54/94.5</f>
        <v>0.02687830687830688</v>
      </c>
      <c r="I234" s="8">
        <f t="shared" si="18"/>
        <v>3.6329047619047614</v>
      </c>
      <c r="J234" s="8">
        <f>3.633/145</f>
        <v>0.025055172413793105</v>
      </c>
    </row>
    <row r="235" spans="1:10" ht="11.25">
      <c r="A235" s="23" t="s">
        <v>17</v>
      </c>
      <c r="B235" s="8">
        <v>2.041</v>
      </c>
      <c r="C235" s="8">
        <f>6/12</f>
        <v>0.5</v>
      </c>
      <c r="D235" s="8">
        <v>0.25</v>
      </c>
      <c r="E235" s="8">
        <f>11/14</f>
        <v>0.7857142857142857</v>
      </c>
      <c r="F235" s="8">
        <f>2/6</f>
        <v>0.3333333333333333</v>
      </c>
      <c r="G235" s="8">
        <f t="shared" si="17"/>
        <v>2.791</v>
      </c>
      <c r="H235" s="8">
        <f>2.79/94.5</f>
        <v>0.029523809523809525</v>
      </c>
      <c r="I235" s="8">
        <f t="shared" si="18"/>
        <v>3.910047619047619</v>
      </c>
      <c r="J235" s="8">
        <f>3.91/145</f>
        <v>0.02696551724137931</v>
      </c>
    </row>
    <row r="236" spans="1:10" ht="11.25">
      <c r="A236" s="23" t="s">
        <v>13</v>
      </c>
      <c r="B236" s="8">
        <v>2.048</v>
      </c>
      <c r="C236" s="8">
        <f>4/12</f>
        <v>0.3333333333333333</v>
      </c>
      <c r="D236" s="8">
        <v>1</v>
      </c>
      <c r="E236" s="8">
        <f>2/14</f>
        <v>0.14285714285714285</v>
      </c>
      <c r="F236" s="8">
        <v>0</v>
      </c>
      <c r="G236" s="8">
        <f t="shared" si="17"/>
        <v>3.3813333333333335</v>
      </c>
      <c r="H236" s="8">
        <f>3.38/94.5</f>
        <v>0.03576719576719577</v>
      </c>
      <c r="I236" s="8">
        <f t="shared" si="18"/>
        <v>3.5241904761904763</v>
      </c>
      <c r="J236" s="8">
        <f>3.524/145</f>
        <v>0.024303448275862068</v>
      </c>
    </row>
    <row r="237" spans="1:10" ht="11.25">
      <c r="A237" s="23" t="s">
        <v>18</v>
      </c>
      <c r="B237" s="8">
        <v>0.552</v>
      </c>
      <c r="C237" s="8">
        <f>1/12</f>
        <v>0.08333333333333333</v>
      </c>
      <c r="D237" s="8">
        <v>0</v>
      </c>
      <c r="E237" s="8">
        <v>0</v>
      </c>
      <c r="F237" s="8">
        <v>0</v>
      </c>
      <c r="G237" s="8">
        <f t="shared" si="17"/>
        <v>0.6353333333333334</v>
      </c>
      <c r="H237" s="8">
        <f>0.635/94.5</f>
        <v>0.00671957671957672</v>
      </c>
      <c r="I237" s="8">
        <v>0.635</v>
      </c>
      <c r="J237" s="8">
        <f>0.64/145</f>
        <v>0.004413793103448276</v>
      </c>
    </row>
    <row r="238" spans="1:10" ht="11.25">
      <c r="A238" s="23" t="s">
        <v>6</v>
      </c>
      <c r="B238" s="8">
        <v>6.266</v>
      </c>
      <c r="C238" s="8">
        <f>10/12</f>
        <v>0.8333333333333334</v>
      </c>
      <c r="D238" s="8">
        <f>17/12</f>
        <v>1.4166666666666667</v>
      </c>
      <c r="E238" s="8">
        <f>113/14</f>
        <v>8.071428571428571</v>
      </c>
      <c r="F238" s="8">
        <f>21/6</f>
        <v>3.5</v>
      </c>
      <c r="G238" s="8">
        <f t="shared" si="17"/>
        <v>8.516</v>
      </c>
      <c r="H238" s="8">
        <f>8.516/94.5</f>
        <v>0.09011640211640212</v>
      </c>
      <c r="I238" s="8">
        <f>SUM(B238:F238)</f>
        <v>20.08742857142857</v>
      </c>
      <c r="J238" s="8">
        <f>20.1/145</f>
        <v>0.13862068965517244</v>
      </c>
    </row>
    <row r="239" spans="1:10" ht="11.25">
      <c r="A239" s="23" t="s">
        <v>7</v>
      </c>
      <c r="B239" s="8">
        <v>0.381</v>
      </c>
      <c r="C239" s="8">
        <f>2/12</f>
        <v>0.16666666666666666</v>
      </c>
      <c r="D239" s="8">
        <v>0</v>
      </c>
      <c r="E239" s="8">
        <f>2/14</f>
        <v>0.14285714285714285</v>
      </c>
      <c r="F239" s="8">
        <v>0</v>
      </c>
      <c r="G239" s="8">
        <f t="shared" si="17"/>
        <v>0.5476666666666666</v>
      </c>
      <c r="H239" s="8">
        <f>0.548/94.5</f>
        <v>0.005798941798941799</v>
      </c>
      <c r="I239" s="8">
        <f>SUM(B239:F239)</f>
        <v>0.6905238095238095</v>
      </c>
      <c r="J239" s="8">
        <f>0.691/145</f>
        <v>0.00476551724137931</v>
      </c>
    </row>
    <row r="240" spans="1:10" ht="11.25">
      <c r="A240" s="23" t="s">
        <v>15</v>
      </c>
      <c r="B240" s="8">
        <v>0</v>
      </c>
      <c r="C240" s="8">
        <v>0</v>
      </c>
      <c r="D240" s="8">
        <v>0</v>
      </c>
      <c r="E240" s="8">
        <v>0</v>
      </c>
      <c r="F240" s="8">
        <v>0</v>
      </c>
      <c r="G240" s="8">
        <f t="shared" si="17"/>
        <v>0</v>
      </c>
      <c r="H240" s="8">
        <v>0</v>
      </c>
      <c r="I240" s="8">
        <v>0</v>
      </c>
      <c r="J240" s="11">
        <v>0</v>
      </c>
    </row>
    <row r="241" spans="1:10" ht="11.25">
      <c r="A241" s="23" t="s">
        <v>16</v>
      </c>
      <c r="B241" s="8">
        <v>1.115</v>
      </c>
      <c r="C241" s="8">
        <f>8/12</f>
        <v>0.6666666666666666</v>
      </c>
      <c r="D241" s="8">
        <f>1/12</f>
        <v>0.08333333333333333</v>
      </c>
      <c r="E241" s="8">
        <f>2/14</f>
        <v>0.14285714285714285</v>
      </c>
      <c r="F241" s="8">
        <v>0.5</v>
      </c>
      <c r="G241" s="8">
        <f t="shared" si="17"/>
        <v>1.865</v>
      </c>
      <c r="H241" s="8">
        <f>1.865/94.5</f>
        <v>0.019735449735449734</v>
      </c>
      <c r="I241" s="8">
        <f>SUM(B241:F241)</f>
        <v>2.507857142857143</v>
      </c>
      <c r="J241" s="8">
        <f>2.51/145</f>
        <v>0.017310344827586206</v>
      </c>
    </row>
    <row r="242" spans="1:10" ht="11.25">
      <c r="A242" s="23" t="s">
        <v>24</v>
      </c>
      <c r="B242" s="8">
        <f>SUM(B230:B241)</f>
        <v>37.196</v>
      </c>
      <c r="C242" s="8">
        <f>SUM(C230:C241)</f>
        <v>14.333333333333332</v>
      </c>
      <c r="D242" s="8">
        <f>SUM(D230:D241)</f>
        <v>6.913333333333334</v>
      </c>
      <c r="E242" s="8">
        <f>SUM(E230:E241)</f>
        <v>18</v>
      </c>
      <c r="F242" s="8">
        <f>SUM(F230:F241)</f>
        <v>10.666666666666668</v>
      </c>
      <c r="G242" s="8">
        <f t="shared" si="17"/>
        <v>58.44266666666666</v>
      </c>
      <c r="H242" s="8">
        <f>58.44/94.5</f>
        <v>0.6184126984126984</v>
      </c>
      <c r="I242" s="8">
        <f>SUM(B242:F242)</f>
        <v>87.10933333333334</v>
      </c>
      <c r="J242" s="8">
        <f>87.11/145</f>
        <v>0.6007586206896551</v>
      </c>
    </row>
    <row r="243" spans="1:6" ht="11.25">
      <c r="A243" s="22" t="s">
        <v>19</v>
      </c>
      <c r="B243" s="11">
        <v>13</v>
      </c>
      <c r="C243" s="11">
        <v>12</v>
      </c>
      <c r="D243" s="11">
        <v>12</v>
      </c>
      <c r="E243" s="11">
        <v>14</v>
      </c>
      <c r="F243" s="11">
        <v>6</v>
      </c>
    </row>
    <row r="245" ht="11.25">
      <c r="A245" s="31" t="s">
        <v>46</v>
      </c>
    </row>
    <row r="246" spans="1:10" s="16" customFormat="1" ht="11.25">
      <c r="A246" s="32" t="s">
        <v>0</v>
      </c>
      <c r="B246" s="16" t="s">
        <v>21</v>
      </c>
      <c r="C246" s="16" t="s">
        <v>9</v>
      </c>
      <c r="D246" s="16" t="s">
        <v>10</v>
      </c>
      <c r="E246" s="16" t="s">
        <v>11</v>
      </c>
      <c r="F246" s="16" t="s">
        <v>12</v>
      </c>
      <c r="G246" s="16" t="s">
        <v>23</v>
      </c>
      <c r="H246" s="16" t="s">
        <v>26</v>
      </c>
      <c r="I246" s="16" t="s">
        <v>24</v>
      </c>
      <c r="J246" s="16" t="s">
        <v>25</v>
      </c>
    </row>
    <row r="247" spans="1:10" ht="11.25">
      <c r="A247" s="23" t="s">
        <v>4</v>
      </c>
      <c r="B247" s="8">
        <v>7.989</v>
      </c>
      <c r="C247" s="8">
        <v>2.75</v>
      </c>
      <c r="D247" s="8">
        <f>7/15</f>
        <v>0.4666666666666667</v>
      </c>
      <c r="E247" s="8">
        <f>19/19</f>
        <v>1</v>
      </c>
      <c r="F247" s="8">
        <f>10/19</f>
        <v>0.5263157894736842</v>
      </c>
      <c r="G247" s="8">
        <f aca="true" t="shared" si="19" ref="G247:G258">SUM(B247:D247)</f>
        <v>11.205666666666668</v>
      </c>
      <c r="H247" s="8">
        <f>11.21/95</f>
        <v>0.11800000000000001</v>
      </c>
      <c r="I247" s="8">
        <f aca="true" t="shared" si="20" ref="I247:I259">SUM(B247:F247)</f>
        <v>12.731982456140353</v>
      </c>
      <c r="J247" s="8">
        <f>12.732/145</f>
        <v>0.08780689655172413</v>
      </c>
    </row>
    <row r="248" spans="1:10" ht="11.25">
      <c r="A248" s="23" t="s">
        <v>5</v>
      </c>
      <c r="B248" s="8">
        <v>2.78</v>
      </c>
      <c r="C248" s="8">
        <v>0.15</v>
      </c>
      <c r="D248" s="8">
        <f>1/15</f>
        <v>0.06666666666666667</v>
      </c>
      <c r="E248" s="8">
        <f>21/19</f>
        <v>1.105263157894737</v>
      </c>
      <c r="F248" s="8">
        <f>4/19</f>
        <v>0.21052631578947367</v>
      </c>
      <c r="G248" s="8">
        <f t="shared" si="19"/>
        <v>2.9966666666666666</v>
      </c>
      <c r="H248" s="8">
        <f>3/95</f>
        <v>0.031578947368421054</v>
      </c>
      <c r="I248" s="8">
        <f t="shared" si="20"/>
        <v>4.312456140350877</v>
      </c>
      <c r="J248" s="8">
        <f>4.313/145</f>
        <v>0.029744827586206894</v>
      </c>
    </row>
    <row r="249" spans="1:10" ht="11.25">
      <c r="A249" s="23" t="s">
        <v>3</v>
      </c>
      <c r="B249" s="8">
        <v>10.242</v>
      </c>
      <c r="C249" s="8">
        <f>99/20</f>
        <v>4.95</v>
      </c>
      <c r="D249" s="8">
        <f>58/15</f>
        <v>3.8666666666666667</v>
      </c>
      <c r="E249" s="8">
        <f>148/19</f>
        <v>7.7894736842105265</v>
      </c>
      <c r="F249" s="8">
        <f>75/19</f>
        <v>3.9473684210526314</v>
      </c>
      <c r="G249" s="8">
        <f t="shared" si="19"/>
        <v>19.058666666666667</v>
      </c>
      <c r="H249" s="8">
        <f>19.06/95</f>
        <v>0.2006315789473684</v>
      </c>
      <c r="I249" s="8">
        <f t="shared" si="20"/>
        <v>30.795508771929825</v>
      </c>
      <c r="J249" s="8">
        <f>30.8/145</f>
        <v>0.21241379310344827</v>
      </c>
    </row>
    <row r="250" spans="1:10" ht="11.25">
      <c r="A250" s="23" t="s">
        <v>1</v>
      </c>
      <c r="B250" s="8">
        <v>1.992</v>
      </c>
      <c r="C250" s="8">
        <f>17/20</f>
        <v>0.85</v>
      </c>
      <c r="D250" s="8">
        <f>5/15</f>
        <v>0.3333333333333333</v>
      </c>
      <c r="E250" s="8">
        <f>2/19</f>
        <v>0.10526315789473684</v>
      </c>
      <c r="F250" s="8">
        <f>2/19</f>
        <v>0.10526315789473684</v>
      </c>
      <c r="G250" s="8">
        <f t="shared" si="19"/>
        <v>3.1753333333333336</v>
      </c>
      <c r="H250" s="8">
        <f>3.18/94.5</f>
        <v>0.03365079365079365</v>
      </c>
      <c r="I250" s="8">
        <f t="shared" si="20"/>
        <v>3.385859649122807</v>
      </c>
      <c r="J250" s="8">
        <f>3.39/145</f>
        <v>0.023379310344827587</v>
      </c>
    </row>
    <row r="251" spans="1:10" ht="11.25">
      <c r="A251" s="23" t="s">
        <v>2</v>
      </c>
      <c r="B251" s="8">
        <v>0.754</v>
      </c>
      <c r="C251" s="8">
        <f>2/20</f>
        <v>0.1</v>
      </c>
      <c r="D251" s="8">
        <f>1/15</f>
        <v>0.06666666666666667</v>
      </c>
      <c r="E251" s="8">
        <f>4/19</f>
        <v>0.21052631578947367</v>
      </c>
      <c r="F251" s="8">
        <f>3/19</f>
        <v>0.15789473684210525</v>
      </c>
      <c r="G251" s="8">
        <f t="shared" si="19"/>
        <v>0.9206666666666666</v>
      </c>
      <c r="H251" s="8">
        <f>0.921/94.5</f>
        <v>0.009746031746031747</v>
      </c>
      <c r="I251" s="8">
        <f t="shared" si="20"/>
        <v>1.2890877192982457</v>
      </c>
      <c r="J251" s="8">
        <f>1.29/145</f>
        <v>0.008896551724137931</v>
      </c>
    </row>
    <row r="252" spans="1:10" ht="11.25">
      <c r="A252" s="23" t="s">
        <v>17</v>
      </c>
      <c r="B252" s="8">
        <v>1.732</v>
      </c>
      <c r="C252" s="8">
        <v>0.65</v>
      </c>
      <c r="D252" s="8">
        <f>3/15</f>
        <v>0.2</v>
      </c>
      <c r="E252" s="8">
        <f>14/19</f>
        <v>0.7368421052631579</v>
      </c>
      <c r="F252" s="8">
        <f>4/19</f>
        <v>0.21052631578947367</v>
      </c>
      <c r="G252" s="8">
        <f t="shared" si="19"/>
        <v>2.5820000000000003</v>
      </c>
      <c r="H252" s="8">
        <f>2.582/94.5</f>
        <v>0.02732275132275132</v>
      </c>
      <c r="I252" s="8">
        <f t="shared" si="20"/>
        <v>3.5293684210526317</v>
      </c>
      <c r="J252" s="8">
        <f>3.53/145</f>
        <v>0.024344827586206895</v>
      </c>
    </row>
    <row r="253" spans="1:10" ht="11.25">
      <c r="A253" s="23" t="s">
        <v>13</v>
      </c>
      <c r="B253" s="8">
        <v>1.388</v>
      </c>
      <c r="C253" s="8">
        <v>0.25</v>
      </c>
      <c r="D253" s="8">
        <f>12/15</f>
        <v>0.8</v>
      </c>
      <c r="E253" s="8">
        <f>4/19</f>
        <v>0.21052631578947367</v>
      </c>
      <c r="F253" s="8">
        <f>4/19</f>
        <v>0.21052631578947367</v>
      </c>
      <c r="G253" s="8">
        <f t="shared" si="19"/>
        <v>2.4379999999999997</v>
      </c>
      <c r="H253" s="8">
        <f>2.438/94.5</f>
        <v>0.0257989417989418</v>
      </c>
      <c r="I253" s="8">
        <f t="shared" si="20"/>
        <v>2.8590526315789466</v>
      </c>
      <c r="J253" s="8">
        <f>2.86/145</f>
        <v>0.01972413793103448</v>
      </c>
    </row>
    <row r="254" spans="1:10" ht="11.25">
      <c r="A254" s="23" t="s">
        <v>18</v>
      </c>
      <c r="B254" s="8">
        <v>0.793</v>
      </c>
      <c r="C254" s="8">
        <v>0</v>
      </c>
      <c r="D254" s="8">
        <v>0</v>
      </c>
      <c r="E254" s="8">
        <f>1/19</f>
        <v>0.05263157894736842</v>
      </c>
      <c r="F254" s="8">
        <f>1/19</f>
        <v>0.05263157894736842</v>
      </c>
      <c r="G254" s="8">
        <f t="shared" si="19"/>
        <v>0.793</v>
      </c>
      <c r="H254" s="8">
        <f>0.793/94.5</f>
        <v>0.008391534391534393</v>
      </c>
      <c r="I254" s="8">
        <f t="shared" si="20"/>
        <v>0.8982631578947369</v>
      </c>
      <c r="J254" s="8">
        <f>0.9/145</f>
        <v>0.006206896551724138</v>
      </c>
    </row>
    <row r="255" spans="1:10" ht="11.25">
      <c r="A255" s="23" t="s">
        <v>6</v>
      </c>
      <c r="B255" s="8">
        <v>6.656</v>
      </c>
      <c r="C255" s="8">
        <v>1.45</v>
      </c>
      <c r="D255" s="8">
        <f>26/15</f>
        <v>1.7333333333333334</v>
      </c>
      <c r="E255" s="8">
        <f>112/19</f>
        <v>5.894736842105263</v>
      </c>
      <c r="F255" s="8">
        <f>43/19</f>
        <v>2.263157894736842</v>
      </c>
      <c r="G255" s="8">
        <f t="shared" si="19"/>
        <v>9.839333333333332</v>
      </c>
      <c r="H255" s="8">
        <f>9.839/94.5</f>
        <v>0.10411640211640212</v>
      </c>
      <c r="I255" s="8">
        <f t="shared" si="20"/>
        <v>17.99722807017544</v>
      </c>
      <c r="J255" s="8">
        <f>18/145</f>
        <v>0.12413793103448276</v>
      </c>
    </row>
    <row r="256" spans="1:10" ht="11.25">
      <c r="A256" s="23" t="s">
        <v>7</v>
      </c>
      <c r="B256" s="8">
        <v>1.666</v>
      </c>
      <c r="C256" s="8">
        <v>0.05</v>
      </c>
      <c r="D256" s="8">
        <f>1/15</f>
        <v>0.06666666666666667</v>
      </c>
      <c r="E256" s="8">
        <f>7/19</f>
        <v>0.3684210526315789</v>
      </c>
      <c r="F256" s="8">
        <f>7/19</f>
        <v>0.3684210526315789</v>
      </c>
      <c r="G256" s="8">
        <f t="shared" si="19"/>
        <v>1.7826666666666666</v>
      </c>
      <c r="H256" s="8">
        <f>1.783/94.5</f>
        <v>0.018867724867724867</v>
      </c>
      <c r="I256" s="8">
        <f t="shared" si="20"/>
        <v>2.519508771929824</v>
      </c>
      <c r="J256" s="8">
        <f>2.52/145</f>
        <v>0.017379310344827585</v>
      </c>
    </row>
    <row r="257" spans="1:10" ht="11.25">
      <c r="A257" s="23" t="s">
        <v>15</v>
      </c>
      <c r="B257" s="8">
        <v>0</v>
      </c>
      <c r="C257" s="8">
        <v>0.05</v>
      </c>
      <c r="D257" s="8">
        <f>1/15</f>
        <v>0.06666666666666667</v>
      </c>
      <c r="E257" s="8">
        <f>2/19</f>
        <v>0.10526315789473684</v>
      </c>
      <c r="F257" s="8">
        <f>0/19</f>
        <v>0</v>
      </c>
      <c r="G257" s="8">
        <f t="shared" si="19"/>
        <v>0.11666666666666667</v>
      </c>
      <c r="H257" s="8">
        <f>1.117/94.5</f>
        <v>0.01182010582010582</v>
      </c>
      <c r="I257" s="8">
        <f t="shared" si="20"/>
        <v>0.2219298245614035</v>
      </c>
      <c r="J257" s="8">
        <f>0.222/145</f>
        <v>0.0015310344827586207</v>
      </c>
    </row>
    <row r="258" spans="1:10" ht="11.25">
      <c r="A258" s="23" t="s">
        <v>16</v>
      </c>
      <c r="B258" s="8">
        <v>1.851</v>
      </c>
      <c r="C258" s="8">
        <v>0.1</v>
      </c>
      <c r="D258" s="8">
        <f>2/15</f>
        <v>0.13333333333333333</v>
      </c>
      <c r="E258" s="8">
        <f>3/19</f>
        <v>0.15789473684210525</v>
      </c>
      <c r="F258" s="8">
        <f>1/19</f>
        <v>0.05263157894736842</v>
      </c>
      <c r="G258" s="8">
        <f t="shared" si="19"/>
        <v>2.0843333333333334</v>
      </c>
      <c r="H258" s="8">
        <f>2.084/94.5</f>
        <v>0.022052910052910053</v>
      </c>
      <c r="I258" s="8">
        <f t="shared" si="20"/>
        <v>2.2948596491228073</v>
      </c>
      <c r="J258" s="8">
        <f>2.3/145</f>
        <v>0.01586206896551724</v>
      </c>
    </row>
    <row r="259" spans="1:10" ht="11.25">
      <c r="A259" s="23" t="s">
        <v>24</v>
      </c>
      <c r="B259" s="8">
        <f aca="true" t="shared" si="21" ref="B259:H259">SUM(B247:B258)</f>
        <v>37.842999999999996</v>
      </c>
      <c r="C259" s="8">
        <f t="shared" si="21"/>
        <v>11.35</v>
      </c>
      <c r="D259" s="8">
        <f t="shared" si="21"/>
        <v>7.8</v>
      </c>
      <c r="E259" s="8">
        <f t="shared" si="21"/>
        <v>17.736842105263158</v>
      </c>
      <c r="F259" s="8">
        <f t="shared" si="21"/>
        <v>8.105263157894736</v>
      </c>
      <c r="G259" s="8">
        <f t="shared" si="21"/>
        <v>56.99300000000001</v>
      </c>
      <c r="H259" s="8">
        <f t="shared" si="21"/>
        <v>0.6119777220829853</v>
      </c>
      <c r="I259" s="8">
        <f t="shared" si="20"/>
        <v>82.83510526315789</v>
      </c>
      <c r="J259" s="8">
        <f>82.84/145</f>
        <v>0.5713103448275862</v>
      </c>
    </row>
    <row r="260" spans="1:6" ht="11.25">
      <c r="A260" s="22" t="s">
        <v>19</v>
      </c>
      <c r="B260" s="11">
        <v>12</v>
      </c>
      <c r="C260" s="11">
        <v>20</v>
      </c>
      <c r="D260" s="11">
        <v>15</v>
      </c>
      <c r="E260" s="11">
        <v>19</v>
      </c>
      <c r="F260" s="11">
        <v>13</v>
      </c>
    </row>
    <row r="262" ht="11.25">
      <c r="A262" s="31" t="s">
        <v>47</v>
      </c>
    </row>
    <row r="263" spans="1:10" s="16" customFormat="1" ht="11.25">
      <c r="A263" s="32" t="s">
        <v>0</v>
      </c>
      <c r="B263" s="16" t="s">
        <v>21</v>
      </c>
      <c r="C263" s="16" t="s">
        <v>9</v>
      </c>
      <c r="D263" s="16" t="s">
        <v>10</v>
      </c>
      <c r="E263" s="16" t="s">
        <v>11</v>
      </c>
      <c r="F263" s="16" t="s">
        <v>12</v>
      </c>
      <c r="G263" s="16" t="s">
        <v>23</v>
      </c>
      <c r="H263" s="16" t="s">
        <v>26</v>
      </c>
      <c r="I263" s="16" t="s">
        <v>24</v>
      </c>
      <c r="J263" s="16" t="s">
        <v>25</v>
      </c>
    </row>
    <row r="264" spans="1:10" ht="11.25">
      <c r="A264" s="23" t="s">
        <v>4</v>
      </c>
      <c r="B264" s="8">
        <v>4.75</v>
      </c>
      <c r="C264" s="8">
        <f>30/14</f>
        <v>2.142857142857143</v>
      </c>
      <c r="D264" s="8">
        <f>4/13</f>
        <v>0.3076923076923077</v>
      </c>
      <c r="E264" s="8">
        <f>2/9</f>
        <v>0.2222222222222222</v>
      </c>
      <c r="F264" s="8">
        <f>8/11</f>
        <v>0.7272727272727273</v>
      </c>
      <c r="G264" s="8">
        <f aca="true" t="shared" si="22" ref="G264:G276">SUM(B264:D264)</f>
        <v>7.20054945054945</v>
      </c>
      <c r="H264" s="8">
        <f>7.2/94.5</f>
        <v>0.0761904761904762</v>
      </c>
      <c r="I264" s="8">
        <f>SUM(B264:F264)</f>
        <v>8.150044400044399</v>
      </c>
      <c r="J264" s="8">
        <f>8.15/145</f>
        <v>0.05620689655172414</v>
      </c>
    </row>
    <row r="265" spans="1:10" ht="11.25">
      <c r="A265" s="23" t="s">
        <v>5</v>
      </c>
      <c r="B265" s="8">
        <v>2.55</v>
      </c>
      <c r="C265" s="8">
        <f>8/14</f>
        <v>0.5714285714285714</v>
      </c>
      <c r="D265" s="8">
        <f>1/13</f>
        <v>0.07692307692307693</v>
      </c>
      <c r="E265" s="8">
        <v>1</v>
      </c>
      <c r="F265" s="8">
        <f>6/11</f>
        <v>0.5454545454545454</v>
      </c>
      <c r="G265" s="8">
        <f t="shared" si="22"/>
        <v>3.198351648351648</v>
      </c>
      <c r="H265" s="8">
        <f>3.2/94.5</f>
        <v>0.033862433862433865</v>
      </c>
      <c r="I265" s="8">
        <f>SUM(B265:F265)</f>
        <v>4.7438061938061935</v>
      </c>
      <c r="J265" s="8">
        <f>4.74/145</f>
        <v>0.0326896551724138</v>
      </c>
    </row>
    <row r="266" spans="1:10" ht="11.25">
      <c r="A266" s="23" t="s">
        <v>3</v>
      </c>
      <c r="B266" s="8">
        <v>11.666</v>
      </c>
      <c r="C266" s="8">
        <f>95/14</f>
        <v>6.785714285714286</v>
      </c>
      <c r="D266" s="8">
        <f>55/13</f>
        <v>4.230769230769231</v>
      </c>
      <c r="E266" s="8">
        <f>83/9</f>
        <v>9.222222222222221</v>
      </c>
      <c r="F266" s="8">
        <f>56/11</f>
        <v>5.090909090909091</v>
      </c>
      <c r="G266" s="8">
        <f t="shared" si="22"/>
        <v>22.682483516483515</v>
      </c>
      <c r="H266" s="8">
        <f>22.68/94.5</f>
        <v>0.24</v>
      </c>
      <c r="I266" s="8">
        <f>SUM(B266:F266)</f>
        <v>36.99561482961483</v>
      </c>
      <c r="J266" s="8">
        <f>37/145</f>
        <v>0.25517241379310346</v>
      </c>
    </row>
    <row r="267" spans="1:10" ht="11.25">
      <c r="A267" s="23" t="s">
        <v>1</v>
      </c>
      <c r="B267" s="8">
        <v>2.417</v>
      </c>
      <c r="C267" s="8">
        <f>8/14</f>
        <v>0.5714285714285714</v>
      </c>
      <c r="D267" s="8">
        <f>1/13</f>
        <v>0.07692307692307693</v>
      </c>
      <c r="E267" s="8">
        <f>4/9</f>
        <v>0.4444444444444444</v>
      </c>
      <c r="F267" s="8">
        <f>5/11</f>
        <v>0.45454545454545453</v>
      </c>
      <c r="G267" s="8">
        <f t="shared" si="22"/>
        <v>3.065351648351648</v>
      </c>
      <c r="H267" s="8">
        <f>3.07/94.5</f>
        <v>0.03248677248677249</v>
      </c>
      <c r="I267" s="8">
        <f>SUM(B267:F267)</f>
        <v>3.964341547341547</v>
      </c>
      <c r="J267" s="8">
        <f>3.96/145</f>
        <v>0.027310344827586208</v>
      </c>
    </row>
    <row r="268" spans="1:10" ht="11.25">
      <c r="A268" s="23" t="s">
        <v>2</v>
      </c>
      <c r="B268" s="8">
        <v>0.333</v>
      </c>
      <c r="C268" s="8">
        <v>0</v>
      </c>
      <c r="D268" s="8">
        <f>1/13</f>
        <v>0.07692307692307693</v>
      </c>
      <c r="E268" s="8">
        <f>1/9</f>
        <v>0.1111111111111111</v>
      </c>
      <c r="F268" s="8">
        <f>0/11</f>
        <v>0</v>
      </c>
      <c r="G268" s="8">
        <f t="shared" si="22"/>
        <v>0.40992307692307695</v>
      </c>
      <c r="H268" s="8">
        <f>0.41/94.5</f>
        <v>0.004338624338624339</v>
      </c>
      <c r="I268" s="8">
        <v>0.88</v>
      </c>
      <c r="J268" s="8">
        <f>0.88/145</f>
        <v>0.006068965517241379</v>
      </c>
    </row>
    <row r="269" spans="1:10" ht="11.25">
      <c r="A269" s="23" t="s">
        <v>17</v>
      </c>
      <c r="B269" s="8">
        <v>1.267</v>
      </c>
      <c r="C269" s="8">
        <v>0.1428571</v>
      </c>
      <c r="D269" s="8">
        <f>3/13</f>
        <v>0.23076923076923078</v>
      </c>
      <c r="E269" s="8">
        <f>6/9</f>
        <v>0.6666666666666666</v>
      </c>
      <c r="F269" s="8">
        <f>15/11</f>
        <v>1.3636363636363635</v>
      </c>
      <c r="G269" s="8">
        <f t="shared" si="22"/>
        <v>1.6406263307692308</v>
      </c>
      <c r="H269" s="8">
        <f>1.64/94.5</f>
        <v>0.017354497354497355</v>
      </c>
      <c r="I269" s="8">
        <f>SUM(B269:F269)</f>
        <v>3.670929361072261</v>
      </c>
      <c r="J269" s="8">
        <f>3.67/145</f>
        <v>0.025310344827586206</v>
      </c>
    </row>
    <row r="270" spans="1:10" ht="11.25">
      <c r="A270" s="23" t="s">
        <v>13</v>
      </c>
      <c r="B270" s="8">
        <v>1.3</v>
      </c>
      <c r="C270" s="8">
        <f>3/14</f>
        <v>0.21428571428571427</v>
      </c>
      <c r="D270" s="8">
        <f>11/13</f>
        <v>0.8461538461538461</v>
      </c>
      <c r="E270" s="8">
        <f>1/9</f>
        <v>0.1111111111111111</v>
      </c>
      <c r="F270" s="8">
        <f>1/11</f>
        <v>0.09090909090909091</v>
      </c>
      <c r="G270" s="8">
        <f t="shared" si="22"/>
        <v>2.3604395604395605</v>
      </c>
      <c r="H270" s="8">
        <f>2.36/94.5</f>
        <v>0.02497354497354497</v>
      </c>
      <c r="I270" s="8">
        <f>SUM(B270:F270)</f>
        <v>2.5624597624597625</v>
      </c>
      <c r="J270" s="8">
        <f>2.56/145</f>
        <v>0.017655172413793104</v>
      </c>
    </row>
    <row r="271" spans="1:10" ht="11.25">
      <c r="A271" s="23" t="s">
        <v>18</v>
      </c>
      <c r="B271" s="8">
        <v>0.383</v>
      </c>
      <c r="C271" s="8">
        <f>3/14</f>
        <v>0.21428571428571427</v>
      </c>
      <c r="D271" s="8">
        <v>0</v>
      </c>
      <c r="E271" s="8">
        <v>0</v>
      </c>
      <c r="F271" s="8">
        <f>0/11</f>
        <v>0</v>
      </c>
      <c r="G271" s="8">
        <f t="shared" si="22"/>
        <v>0.5972857142857143</v>
      </c>
      <c r="H271" s="8">
        <f>0.6/94.5</f>
        <v>0.006349206349206349</v>
      </c>
      <c r="I271" s="8">
        <v>0.597</v>
      </c>
      <c r="J271" s="8">
        <f>0.6/145</f>
        <v>0.004137931034482759</v>
      </c>
    </row>
    <row r="272" spans="1:10" ht="11.25">
      <c r="A272" s="23" t="s">
        <v>6</v>
      </c>
      <c r="B272" s="8">
        <v>7.7</v>
      </c>
      <c r="C272" s="8">
        <f>28/14</f>
        <v>2</v>
      </c>
      <c r="D272" s="8">
        <f>32/13</f>
        <v>2.4615384615384617</v>
      </c>
      <c r="E272" s="8">
        <f>83/9</f>
        <v>9.222222222222221</v>
      </c>
      <c r="F272" s="8">
        <f>64/11</f>
        <v>5.818181818181818</v>
      </c>
      <c r="G272" s="8">
        <f t="shared" si="22"/>
        <v>12.161538461538461</v>
      </c>
      <c r="H272" s="8">
        <f>12.16/94.5</f>
        <v>0.12867724867724867</v>
      </c>
      <c r="I272" s="8">
        <f>SUM(B272:F272)</f>
        <v>27.201942501942504</v>
      </c>
      <c r="J272" s="8">
        <f>27.2/145</f>
        <v>0.18758620689655173</v>
      </c>
    </row>
    <row r="273" spans="1:10" ht="11.25">
      <c r="A273" s="23" t="s">
        <v>7</v>
      </c>
      <c r="B273" s="8">
        <v>0.083</v>
      </c>
      <c r="C273" s="8">
        <v>0.1428</v>
      </c>
      <c r="D273" s="8">
        <v>0.0769</v>
      </c>
      <c r="E273" s="8">
        <v>0.111</v>
      </c>
      <c r="F273" s="8">
        <v>0.182</v>
      </c>
      <c r="G273" s="8">
        <f t="shared" si="22"/>
        <v>0.30269999999999997</v>
      </c>
      <c r="H273" s="8">
        <f>0.3/94.5</f>
        <v>0.0031746031746031746</v>
      </c>
      <c r="I273" s="8">
        <f>SUM(B273:F273)</f>
        <v>0.5956999999999999</v>
      </c>
      <c r="J273" s="8">
        <f>0.596/145</f>
        <v>0.004110344827586206</v>
      </c>
    </row>
    <row r="274" spans="1:10" ht="11.25">
      <c r="A274" s="23" t="s">
        <v>15</v>
      </c>
      <c r="B274" s="8">
        <v>0</v>
      </c>
      <c r="C274" s="8">
        <v>0</v>
      </c>
      <c r="D274" s="8">
        <v>0</v>
      </c>
      <c r="E274" s="8">
        <v>0</v>
      </c>
      <c r="F274" s="8">
        <f>2/11</f>
        <v>0.18181818181818182</v>
      </c>
      <c r="G274" s="8">
        <f t="shared" si="22"/>
        <v>0</v>
      </c>
      <c r="H274" s="8">
        <v>0</v>
      </c>
      <c r="I274" s="8">
        <v>0.1818</v>
      </c>
      <c r="J274" s="8">
        <f>0.18/145</f>
        <v>0.0012413793103448274</v>
      </c>
    </row>
    <row r="275" spans="1:10" s="8" customFormat="1" ht="11.25">
      <c r="A275" s="23" t="s">
        <v>16</v>
      </c>
      <c r="B275" s="8">
        <v>1.55</v>
      </c>
      <c r="C275" s="8">
        <v>0</v>
      </c>
      <c r="D275" s="8">
        <f>1/13</f>
        <v>0.07692307692307693</v>
      </c>
      <c r="E275" s="8">
        <v>0</v>
      </c>
      <c r="F275" s="8">
        <f>2/11</f>
        <v>0.18181818181818182</v>
      </c>
      <c r="G275" s="8">
        <f t="shared" si="22"/>
        <v>1.626923076923077</v>
      </c>
      <c r="H275" s="8">
        <f>1.63/94.5</f>
        <v>0.017248677248677246</v>
      </c>
      <c r="I275" s="8">
        <f>SUM(B275:F275)</f>
        <v>1.8087412587412588</v>
      </c>
      <c r="J275" s="8">
        <f>1.81/145</f>
        <v>0.012482758620689656</v>
      </c>
    </row>
    <row r="276" spans="1:10" ht="11.25">
      <c r="A276" s="23" t="s">
        <v>24</v>
      </c>
      <c r="B276" s="8">
        <f>SUM(B264:B275)</f>
        <v>33.998999999999995</v>
      </c>
      <c r="C276" s="8">
        <f>SUM(C264:C275)</f>
        <v>12.785657099999998</v>
      </c>
      <c r="D276" s="8">
        <f>SUM(D264:D275)</f>
        <v>8.461515384615383</v>
      </c>
      <c r="E276" s="8">
        <f>SUM(E264:E275)</f>
        <v>21.110999999999997</v>
      </c>
      <c r="F276" s="8">
        <f>SUM(F264:F275)</f>
        <v>14.636545454545455</v>
      </c>
      <c r="G276" s="8">
        <f t="shared" si="22"/>
        <v>55.24617248461537</v>
      </c>
      <c r="H276" s="8">
        <f>55.246/94.5</f>
        <v>0.5846137566137566</v>
      </c>
      <c r="I276" s="8">
        <f>SUM(B276:F276)</f>
        <v>90.99371793916083</v>
      </c>
      <c r="J276" s="8">
        <f>91/145</f>
        <v>0.6275862068965518</v>
      </c>
    </row>
    <row r="277" spans="1:6" ht="11.25">
      <c r="A277" s="22" t="s">
        <v>19</v>
      </c>
      <c r="B277" s="11">
        <v>12</v>
      </c>
      <c r="C277" s="11">
        <v>14</v>
      </c>
      <c r="D277" s="11">
        <v>13</v>
      </c>
      <c r="E277" s="11">
        <v>9</v>
      </c>
      <c r="F277" s="11">
        <v>11</v>
      </c>
    </row>
    <row r="279" ht="11.25">
      <c r="A279" s="31" t="s">
        <v>115</v>
      </c>
    </row>
    <row r="280" spans="1:10" s="34" customFormat="1" ht="11.25">
      <c r="A280" s="33" t="s">
        <v>0</v>
      </c>
      <c r="B280" s="34" t="s">
        <v>21</v>
      </c>
      <c r="C280" s="34" t="s">
        <v>9</v>
      </c>
      <c r="D280" s="34" t="s">
        <v>10</v>
      </c>
      <c r="E280" s="34" t="s">
        <v>11</v>
      </c>
      <c r="F280" s="34" t="s">
        <v>12</v>
      </c>
      <c r="G280" s="34" t="s">
        <v>23</v>
      </c>
      <c r="H280" s="34" t="s">
        <v>26</v>
      </c>
      <c r="I280" s="34" t="s">
        <v>24</v>
      </c>
      <c r="J280" s="34" t="s">
        <v>25</v>
      </c>
    </row>
    <row r="281" spans="1:10" s="8" customFormat="1" ht="11.25">
      <c r="A281" s="23" t="s">
        <v>4</v>
      </c>
      <c r="B281" s="8">
        <v>5.47</v>
      </c>
      <c r="C281" s="8">
        <v>1.77</v>
      </c>
      <c r="D281" s="8">
        <v>0.6</v>
      </c>
      <c r="E281" s="8">
        <v>0.73</v>
      </c>
      <c r="F281" s="8">
        <v>2</v>
      </c>
      <c r="G281" s="8">
        <v>7.84</v>
      </c>
      <c r="H281" s="8">
        <v>0.083</v>
      </c>
      <c r="I281" s="8">
        <f>SUM(B281:F281)</f>
        <v>10.57</v>
      </c>
      <c r="J281" s="8">
        <v>0.073</v>
      </c>
    </row>
    <row r="282" spans="1:10" s="8" customFormat="1" ht="11.25">
      <c r="A282" s="23" t="s">
        <v>5</v>
      </c>
      <c r="B282" s="8">
        <v>2.95</v>
      </c>
      <c r="C282" s="8">
        <v>2.15</v>
      </c>
      <c r="D282" s="8">
        <v>0.5</v>
      </c>
      <c r="E282" s="8">
        <v>1.45</v>
      </c>
      <c r="F282" s="8">
        <v>0.5</v>
      </c>
      <c r="G282" s="8">
        <v>5.6</v>
      </c>
      <c r="H282" s="8">
        <v>0.059</v>
      </c>
      <c r="I282" s="8">
        <f>SUM(B282:F282)</f>
        <v>7.55</v>
      </c>
      <c r="J282" s="8">
        <v>0.052</v>
      </c>
    </row>
    <row r="283" spans="1:10" s="8" customFormat="1" ht="11.25">
      <c r="A283" s="23" t="s">
        <v>3</v>
      </c>
      <c r="B283" s="8">
        <v>16.36</v>
      </c>
      <c r="C283" s="8">
        <v>9.15</v>
      </c>
      <c r="D283" s="8">
        <v>4.2</v>
      </c>
      <c r="E283" s="8">
        <v>8.18</v>
      </c>
      <c r="F283" s="8">
        <v>5.8</v>
      </c>
      <c r="G283" s="8">
        <v>29.71</v>
      </c>
      <c r="H283" s="8">
        <v>0.314</v>
      </c>
      <c r="I283" s="8">
        <f>SUM(B283:F283)</f>
        <v>43.69</v>
      </c>
      <c r="J283" s="8">
        <v>0.302</v>
      </c>
    </row>
    <row r="284" spans="1:10" s="8" customFormat="1" ht="11.25">
      <c r="A284" s="23" t="s">
        <v>1</v>
      </c>
      <c r="B284" s="8">
        <v>1.43</v>
      </c>
      <c r="C284" s="8">
        <v>1.31</v>
      </c>
      <c r="D284" s="8">
        <v>0.2</v>
      </c>
      <c r="E284" s="8">
        <v>0.45</v>
      </c>
      <c r="F284" s="8">
        <v>0.2</v>
      </c>
      <c r="G284" s="8">
        <v>2.94</v>
      </c>
      <c r="H284" s="8">
        <v>0.031</v>
      </c>
      <c r="I284" s="8">
        <f>SUM(B284:F284)</f>
        <v>3.5900000000000007</v>
      </c>
      <c r="J284" s="8">
        <v>0.025</v>
      </c>
    </row>
    <row r="285" spans="1:10" s="8" customFormat="1" ht="11.25">
      <c r="A285" s="23" t="s">
        <v>2</v>
      </c>
      <c r="B285" s="8">
        <v>0.49</v>
      </c>
      <c r="C285" s="8">
        <v>0.08</v>
      </c>
      <c r="D285" s="8">
        <v>0</v>
      </c>
      <c r="E285" s="8">
        <v>0</v>
      </c>
      <c r="F285" s="8">
        <v>0.4</v>
      </c>
      <c r="G285" s="8">
        <v>0.57</v>
      </c>
      <c r="H285" s="8">
        <v>0.06</v>
      </c>
      <c r="I285" s="8">
        <v>0.97</v>
      </c>
      <c r="J285" s="8">
        <v>0.007</v>
      </c>
    </row>
    <row r="286" spans="1:10" s="8" customFormat="1" ht="11.25">
      <c r="A286" s="23" t="s">
        <v>17</v>
      </c>
      <c r="B286" s="8">
        <v>1.88</v>
      </c>
      <c r="C286" s="8">
        <v>0.77</v>
      </c>
      <c r="D286" s="8">
        <v>0.2</v>
      </c>
      <c r="E286" s="8">
        <v>0.73</v>
      </c>
      <c r="F286" s="8">
        <v>0</v>
      </c>
      <c r="G286" s="8">
        <v>2.85</v>
      </c>
      <c r="H286" s="8">
        <v>0.03</v>
      </c>
      <c r="I286" s="8">
        <f>SUM(B286:F286)</f>
        <v>3.58</v>
      </c>
      <c r="J286" s="8">
        <v>0.025</v>
      </c>
    </row>
    <row r="287" spans="1:10" s="8" customFormat="1" ht="11.25">
      <c r="A287" s="23" t="s">
        <v>13</v>
      </c>
      <c r="B287" s="8">
        <v>2.16</v>
      </c>
      <c r="C287" s="8">
        <v>1.08</v>
      </c>
      <c r="D287" s="8">
        <v>0.9</v>
      </c>
      <c r="E287" s="8">
        <v>0.27</v>
      </c>
      <c r="F287" s="8">
        <v>0</v>
      </c>
      <c r="G287" s="8">
        <v>4.14</v>
      </c>
      <c r="H287" s="8">
        <v>0.044</v>
      </c>
      <c r="I287" s="8">
        <f>SUM(B287:F287)</f>
        <v>4.41</v>
      </c>
      <c r="J287" s="8">
        <v>0.031</v>
      </c>
    </row>
    <row r="288" spans="1:10" s="8" customFormat="1" ht="11.25">
      <c r="A288" s="23" t="s">
        <v>18</v>
      </c>
      <c r="B288" s="8">
        <v>0.31</v>
      </c>
      <c r="C288" s="8">
        <v>0.08</v>
      </c>
      <c r="D288" s="8">
        <v>0.1</v>
      </c>
      <c r="E288" s="8">
        <v>0</v>
      </c>
      <c r="F288" s="8">
        <v>0</v>
      </c>
      <c r="G288" s="8">
        <v>0.49</v>
      </c>
      <c r="H288" s="8">
        <v>0.005</v>
      </c>
      <c r="I288" s="8">
        <v>0.49</v>
      </c>
      <c r="J288" s="8">
        <v>0.003</v>
      </c>
    </row>
    <row r="289" spans="1:10" s="8" customFormat="1" ht="11.25">
      <c r="A289" s="23" t="s">
        <v>6</v>
      </c>
      <c r="B289" s="8">
        <v>11.41</v>
      </c>
      <c r="C289" s="8">
        <v>3.46</v>
      </c>
      <c r="D289" s="8">
        <v>3.3</v>
      </c>
      <c r="E289" s="8">
        <v>9.09</v>
      </c>
      <c r="F289" s="8">
        <v>6.1</v>
      </c>
      <c r="G289" s="8">
        <v>18.17</v>
      </c>
      <c r="H289" s="8">
        <v>0.192</v>
      </c>
      <c r="I289" s="8">
        <f>SUM(B289:F289)</f>
        <v>33.36</v>
      </c>
      <c r="J289" s="8">
        <v>0.231</v>
      </c>
    </row>
    <row r="290" spans="1:10" s="8" customFormat="1" ht="11.25">
      <c r="A290" s="23" t="s">
        <v>7</v>
      </c>
      <c r="B290" s="8">
        <v>0.25</v>
      </c>
      <c r="C290" s="8">
        <v>0.08</v>
      </c>
      <c r="D290" s="8">
        <v>0.2</v>
      </c>
      <c r="E290" s="8">
        <v>0.45</v>
      </c>
      <c r="F290" s="8">
        <v>0.3</v>
      </c>
      <c r="G290" s="8">
        <v>0.53</v>
      </c>
      <c r="H290" s="8">
        <v>0.005</v>
      </c>
      <c r="I290" s="8">
        <f>SUM(B290:H290)</f>
        <v>1.815</v>
      </c>
      <c r="J290" s="8">
        <v>0.008</v>
      </c>
    </row>
    <row r="291" spans="1:10" s="8" customFormat="1" ht="11.25">
      <c r="A291" s="23" t="s">
        <v>114</v>
      </c>
      <c r="B291" s="8">
        <v>0</v>
      </c>
      <c r="C291" s="8">
        <v>0</v>
      </c>
      <c r="D291" s="8">
        <v>0</v>
      </c>
      <c r="E291" s="8">
        <v>0.18</v>
      </c>
      <c r="F291" s="8">
        <v>0</v>
      </c>
      <c r="G291" s="8">
        <v>0</v>
      </c>
      <c r="H291" s="8">
        <v>0</v>
      </c>
      <c r="I291" s="8">
        <f>SUM(B291:F291)</f>
        <v>0.18</v>
      </c>
      <c r="J291" s="8">
        <v>0.001</v>
      </c>
    </row>
    <row r="292" spans="1:10" s="8" customFormat="1" ht="11.25">
      <c r="A292" s="23" t="s">
        <v>15</v>
      </c>
      <c r="B292" s="8">
        <v>0</v>
      </c>
      <c r="C292" s="8">
        <v>0</v>
      </c>
      <c r="D292" s="8">
        <v>0</v>
      </c>
      <c r="E292" s="8">
        <v>0.09</v>
      </c>
      <c r="F292" s="8">
        <v>0</v>
      </c>
      <c r="G292" s="8">
        <v>0</v>
      </c>
      <c r="H292" s="8">
        <v>0</v>
      </c>
      <c r="I292" s="8">
        <v>0.09</v>
      </c>
      <c r="J292" s="8">
        <v>0.001</v>
      </c>
    </row>
    <row r="293" spans="1:10" s="8" customFormat="1" ht="11.25">
      <c r="A293" s="23" t="s">
        <v>108</v>
      </c>
      <c r="B293" s="8">
        <v>0</v>
      </c>
      <c r="C293" s="8">
        <v>0</v>
      </c>
      <c r="D293" s="8">
        <v>0.1</v>
      </c>
      <c r="E293" s="8">
        <v>0</v>
      </c>
      <c r="F293" s="8">
        <v>0</v>
      </c>
      <c r="G293" s="8">
        <v>0.1</v>
      </c>
      <c r="H293" s="8">
        <v>0.001</v>
      </c>
      <c r="I293" s="8">
        <v>0.1</v>
      </c>
      <c r="J293" s="8">
        <v>0.001</v>
      </c>
    </row>
    <row r="294" spans="1:10" s="8" customFormat="1" ht="11.25">
      <c r="A294" s="23" t="s">
        <v>16</v>
      </c>
      <c r="B294" s="8">
        <v>1.46</v>
      </c>
      <c r="C294" s="8">
        <v>0.15</v>
      </c>
      <c r="D294" s="8">
        <v>0.1</v>
      </c>
      <c r="E294" s="8">
        <v>0</v>
      </c>
      <c r="F294" s="8">
        <v>0</v>
      </c>
      <c r="G294" s="8">
        <v>1.71</v>
      </c>
      <c r="H294" s="8">
        <v>0.018</v>
      </c>
      <c r="I294" s="8">
        <v>1.71</v>
      </c>
      <c r="J294" s="8">
        <v>0.012</v>
      </c>
    </row>
    <row r="295" spans="1:10" s="8" customFormat="1" ht="11.25">
      <c r="A295" s="23" t="s">
        <v>24</v>
      </c>
      <c r="B295" s="8">
        <f>SUM(B281:B294)</f>
        <v>44.169999999999995</v>
      </c>
      <c r="C295" s="8">
        <f>SUM(C281:C294)</f>
        <v>20.08</v>
      </c>
      <c r="D295" s="8">
        <f>SUM(D281:D294)</f>
        <v>10.399999999999999</v>
      </c>
      <c r="E295" s="8">
        <f>SUM(E281:E294)</f>
        <v>21.619999999999997</v>
      </c>
      <c r="F295" s="8">
        <f>SUM(F281:F294)</f>
        <v>15.3</v>
      </c>
      <c r="G295" s="8">
        <v>74.65</v>
      </c>
      <c r="H295" s="8">
        <v>0.79</v>
      </c>
      <c r="I295" s="8">
        <f>SUM(B295:F295)</f>
        <v>111.57000000000001</v>
      </c>
      <c r="J295" s="8">
        <v>0.772</v>
      </c>
    </row>
    <row r="296" spans="1:6" ht="11.25">
      <c r="A296" s="22" t="s">
        <v>19</v>
      </c>
      <c r="B296" s="11">
        <v>11</v>
      </c>
      <c r="C296" s="11">
        <v>13</v>
      </c>
      <c r="D296" s="11">
        <v>10</v>
      </c>
      <c r="E296" s="11">
        <v>11</v>
      </c>
      <c r="F296" s="11">
        <v>10</v>
      </c>
    </row>
    <row r="297" ht="11.25">
      <c r="O297" s="13"/>
    </row>
    <row r="298" ht="11.25">
      <c r="A298" s="31" t="s">
        <v>118</v>
      </c>
    </row>
    <row r="299" spans="1:10" s="18" customFormat="1" ht="11.25">
      <c r="A299" s="33" t="s">
        <v>0</v>
      </c>
      <c r="B299" s="35" t="s">
        <v>21</v>
      </c>
      <c r="C299" s="34" t="s">
        <v>9</v>
      </c>
      <c r="D299" s="34" t="s">
        <v>10</v>
      </c>
      <c r="E299" s="34" t="s">
        <v>11</v>
      </c>
      <c r="F299" s="34" t="s">
        <v>12</v>
      </c>
      <c r="G299" s="34" t="s">
        <v>23</v>
      </c>
      <c r="H299" s="34" t="s">
        <v>26</v>
      </c>
      <c r="I299" s="34" t="s">
        <v>24</v>
      </c>
      <c r="J299" s="34" t="s">
        <v>25</v>
      </c>
    </row>
    <row r="300" spans="1:10" ht="11.25">
      <c r="A300" s="23" t="s">
        <v>4</v>
      </c>
      <c r="B300" s="9">
        <v>3.55</v>
      </c>
      <c r="C300" s="8">
        <v>1.235</v>
      </c>
      <c r="D300" s="8">
        <v>0.636</v>
      </c>
      <c r="E300" s="8">
        <v>0.917</v>
      </c>
      <c r="F300" s="8">
        <v>2</v>
      </c>
      <c r="G300" s="8">
        <f>SUM(B300:D300)</f>
        <v>5.421</v>
      </c>
      <c r="H300" s="8">
        <f>G300/94.5</f>
        <v>0.05736507936507937</v>
      </c>
      <c r="I300" s="8">
        <f>SUM(B300:F300)</f>
        <v>8.338000000000001</v>
      </c>
      <c r="J300" s="8">
        <f>I300/144.5</f>
        <v>0.057702422145328724</v>
      </c>
    </row>
    <row r="301" spans="1:10" ht="11.25">
      <c r="A301" s="23" t="s">
        <v>5</v>
      </c>
      <c r="B301" s="9">
        <v>0.29</v>
      </c>
      <c r="C301" s="8">
        <v>0.529</v>
      </c>
      <c r="D301" s="8">
        <v>0.455</v>
      </c>
      <c r="E301" s="8">
        <v>0.417</v>
      </c>
      <c r="F301" s="8">
        <v>0.571</v>
      </c>
      <c r="G301" s="8">
        <f aca="true" t="shared" si="23" ref="G301:G314">SUM(B301:D301)</f>
        <v>1.274</v>
      </c>
      <c r="H301" s="8">
        <f>G301/94.5</f>
        <v>0.013481481481481481</v>
      </c>
      <c r="I301" s="8">
        <f aca="true" t="shared" si="24" ref="I301:I314">SUM(B301:F301)</f>
        <v>2.262</v>
      </c>
      <c r="J301" s="8">
        <f aca="true" t="shared" si="25" ref="J301:J314">I301/144.5</f>
        <v>0.015653979238754324</v>
      </c>
    </row>
    <row r="302" spans="1:10" ht="11.25">
      <c r="A302" s="23" t="s">
        <v>3</v>
      </c>
      <c r="B302" s="9">
        <v>19.75</v>
      </c>
      <c r="C302" s="8">
        <v>6.118</v>
      </c>
      <c r="D302" s="8">
        <v>7</v>
      </c>
      <c r="E302" s="8">
        <v>8.417</v>
      </c>
      <c r="F302" s="8">
        <v>9.571</v>
      </c>
      <c r="G302" s="8">
        <f t="shared" si="23"/>
        <v>32.868</v>
      </c>
      <c r="H302" s="8">
        <f aca="true" t="shared" si="26" ref="H302:H314">G302/94.5</f>
        <v>0.34780952380952385</v>
      </c>
      <c r="I302" s="8">
        <f t="shared" si="24"/>
        <v>50.856</v>
      </c>
      <c r="J302" s="8">
        <f t="shared" si="25"/>
        <v>0.3519446366782007</v>
      </c>
    </row>
    <row r="303" spans="1:10" ht="11.25">
      <c r="A303" s="23" t="s">
        <v>1</v>
      </c>
      <c r="B303" s="9">
        <v>0.75</v>
      </c>
      <c r="C303" s="8">
        <v>0.235</v>
      </c>
      <c r="D303" s="8">
        <v>0.546</v>
      </c>
      <c r="E303" s="8">
        <v>0.167</v>
      </c>
      <c r="F303" s="8">
        <v>1.143</v>
      </c>
      <c r="G303" s="8">
        <f t="shared" si="23"/>
        <v>1.5310000000000001</v>
      </c>
      <c r="H303" s="8">
        <f t="shared" si="26"/>
        <v>0.016201058201058202</v>
      </c>
      <c r="I303" s="8">
        <f t="shared" si="24"/>
        <v>2.841</v>
      </c>
      <c r="J303" s="8">
        <f t="shared" si="25"/>
        <v>0.01966089965397924</v>
      </c>
    </row>
    <row r="304" spans="1:10" ht="11.25">
      <c r="A304" s="23" t="s">
        <v>2</v>
      </c>
      <c r="B304" s="9">
        <v>0.11</v>
      </c>
      <c r="C304" s="8">
        <v>0</v>
      </c>
      <c r="D304" s="8">
        <v>0.091</v>
      </c>
      <c r="E304" s="8">
        <v>0</v>
      </c>
      <c r="F304" s="8">
        <v>0.429</v>
      </c>
      <c r="G304" s="8">
        <f t="shared" si="23"/>
        <v>0.201</v>
      </c>
      <c r="H304" s="8">
        <f t="shared" si="26"/>
        <v>0.002126984126984127</v>
      </c>
      <c r="I304" s="8">
        <f t="shared" si="24"/>
        <v>0.63</v>
      </c>
      <c r="J304" s="8">
        <f t="shared" si="25"/>
        <v>0.004359861591695502</v>
      </c>
    </row>
    <row r="305" spans="1:10" ht="11.25">
      <c r="A305" s="23" t="s">
        <v>17</v>
      </c>
      <c r="B305" s="9">
        <v>0.79</v>
      </c>
      <c r="C305" s="8">
        <v>1.235</v>
      </c>
      <c r="D305" s="8">
        <v>0.272</v>
      </c>
      <c r="E305" s="8">
        <v>1.5</v>
      </c>
      <c r="F305" s="8">
        <v>0.143</v>
      </c>
      <c r="G305" s="8">
        <f t="shared" si="23"/>
        <v>2.2970000000000006</v>
      </c>
      <c r="H305" s="8">
        <f t="shared" si="26"/>
        <v>0.02430687830687831</v>
      </c>
      <c r="I305" s="8">
        <f t="shared" si="24"/>
        <v>3.9400000000000004</v>
      </c>
      <c r="J305" s="8">
        <f t="shared" si="25"/>
        <v>0.027266435986159174</v>
      </c>
    </row>
    <row r="306" spans="1:10" ht="11.25">
      <c r="A306" s="23" t="s">
        <v>13</v>
      </c>
      <c r="B306" s="9">
        <v>0.68</v>
      </c>
      <c r="C306" s="8">
        <v>0.235</v>
      </c>
      <c r="D306" s="8">
        <v>1.272</v>
      </c>
      <c r="E306" s="8">
        <v>0</v>
      </c>
      <c r="F306" s="8">
        <v>0.143</v>
      </c>
      <c r="G306" s="8">
        <f t="shared" si="23"/>
        <v>2.1870000000000003</v>
      </c>
      <c r="H306" s="8">
        <f t="shared" si="26"/>
        <v>0.023142857142857146</v>
      </c>
      <c r="I306" s="8">
        <f t="shared" si="24"/>
        <v>2.33</v>
      </c>
      <c r="J306" s="8">
        <f t="shared" si="25"/>
        <v>0.016124567474048442</v>
      </c>
    </row>
    <row r="307" spans="1:10" ht="11.25">
      <c r="A307" s="23" t="s">
        <v>18</v>
      </c>
      <c r="B307" s="9">
        <v>0.11</v>
      </c>
      <c r="C307" s="8">
        <v>0.059</v>
      </c>
      <c r="D307" s="8">
        <v>0.182</v>
      </c>
      <c r="E307" s="8">
        <v>0</v>
      </c>
      <c r="F307" s="8">
        <v>0.143</v>
      </c>
      <c r="G307" s="8">
        <f t="shared" si="23"/>
        <v>0.351</v>
      </c>
      <c r="H307" s="8">
        <f t="shared" si="26"/>
        <v>0.0037142857142857142</v>
      </c>
      <c r="I307" s="8">
        <f t="shared" si="24"/>
        <v>0.494</v>
      </c>
      <c r="J307" s="8">
        <f t="shared" si="25"/>
        <v>0.0034186851211072664</v>
      </c>
    </row>
    <row r="308" spans="1:10" ht="11.25">
      <c r="A308" s="23" t="s">
        <v>6</v>
      </c>
      <c r="B308" s="9">
        <v>11.05</v>
      </c>
      <c r="C308" s="8">
        <v>2.824</v>
      </c>
      <c r="D308" s="8">
        <v>3.909</v>
      </c>
      <c r="E308" s="8">
        <v>7.333</v>
      </c>
      <c r="F308" s="8">
        <v>5.857</v>
      </c>
      <c r="G308" s="8">
        <f t="shared" si="23"/>
        <v>17.783</v>
      </c>
      <c r="H308" s="8">
        <f t="shared" si="26"/>
        <v>0.1881798941798942</v>
      </c>
      <c r="I308" s="8">
        <f t="shared" si="24"/>
        <v>30.973</v>
      </c>
      <c r="J308" s="8">
        <f t="shared" si="25"/>
        <v>0.21434602076124568</v>
      </c>
    </row>
    <row r="309" spans="1:10" ht="11.25">
      <c r="A309" s="23" t="s">
        <v>7</v>
      </c>
      <c r="B309" s="9">
        <v>0.09</v>
      </c>
      <c r="C309" s="8">
        <v>0.059</v>
      </c>
      <c r="D309" s="8">
        <v>0.273</v>
      </c>
      <c r="E309" s="8">
        <v>0.5</v>
      </c>
      <c r="F309" s="8">
        <v>0.143</v>
      </c>
      <c r="G309" s="8">
        <f t="shared" si="23"/>
        <v>0.42200000000000004</v>
      </c>
      <c r="H309" s="8">
        <f t="shared" si="26"/>
        <v>0.004465608465608466</v>
      </c>
      <c r="I309" s="8">
        <f t="shared" si="24"/>
        <v>1.065</v>
      </c>
      <c r="J309" s="8">
        <f t="shared" si="25"/>
        <v>0.0073702422145328714</v>
      </c>
    </row>
    <row r="310" spans="1:10" ht="11.25">
      <c r="A310" s="23" t="s">
        <v>114</v>
      </c>
      <c r="B310" s="9">
        <v>0.11</v>
      </c>
      <c r="C310" s="8">
        <v>0</v>
      </c>
      <c r="D310" s="8">
        <v>0</v>
      </c>
      <c r="E310" s="8">
        <v>0</v>
      </c>
      <c r="F310" s="8">
        <v>0</v>
      </c>
      <c r="G310" s="8">
        <f t="shared" si="23"/>
        <v>0.11</v>
      </c>
      <c r="H310" s="8">
        <f t="shared" si="26"/>
        <v>0.001164021164021164</v>
      </c>
      <c r="I310" s="8">
        <f t="shared" si="24"/>
        <v>0.11</v>
      </c>
      <c r="J310" s="8">
        <f t="shared" si="25"/>
        <v>0.0007612456747404844</v>
      </c>
    </row>
    <row r="311" spans="1:10" ht="11.25">
      <c r="A311" s="23" t="s">
        <v>15</v>
      </c>
      <c r="B311" s="9">
        <v>0</v>
      </c>
      <c r="C311" s="8">
        <v>0.118</v>
      </c>
      <c r="D311" s="8">
        <v>0</v>
      </c>
      <c r="E311" s="8">
        <v>0.083</v>
      </c>
      <c r="F311" s="8">
        <v>0</v>
      </c>
      <c r="G311" s="8">
        <f t="shared" si="23"/>
        <v>0.118</v>
      </c>
      <c r="H311" s="8">
        <f t="shared" si="26"/>
        <v>0.0012486772486772486</v>
      </c>
      <c r="I311" s="8">
        <f t="shared" si="24"/>
        <v>0.201</v>
      </c>
      <c r="J311" s="8">
        <f t="shared" si="25"/>
        <v>0.0013910034602076125</v>
      </c>
    </row>
    <row r="312" spans="1:10" ht="11.25">
      <c r="A312" s="23" t="s">
        <v>108</v>
      </c>
      <c r="B312" s="9">
        <v>0</v>
      </c>
      <c r="C312" s="8">
        <v>0.059</v>
      </c>
      <c r="D312" s="8">
        <v>0</v>
      </c>
      <c r="E312" s="8">
        <v>0.083</v>
      </c>
      <c r="F312" s="8">
        <v>0.0143</v>
      </c>
      <c r="G312" s="8">
        <f t="shared" si="23"/>
        <v>0.059</v>
      </c>
      <c r="H312" s="8">
        <f t="shared" si="26"/>
        <v>0.0006243386243386243</v>
      </c>
      <c r="I312" s="8">
        <f t="shared" si="24"/>
        <v>0.15630000000000002</v>
      </c>
      <c r="J312" s="8">
        <f t="shared" si="25"/>
        <v>0.0010816608996539795</v>
      </c>
    </row>
    <row r="313" spans="1:10" ht="11.25">
      <c r="A313" s="23" t="s">
        <v>16</v>
      </c>
      <c r="B313" s="9">
        <v>0.38</v>
      </c>
      <c r="C313" s="8">
        <v>0.118</v>
      </c>
      <c r="D313" s="8">
        <v>0.273</v>
      </c>
      <c r="E313" s="8">
        <v>0.083</v>
      </c>
      <c r="F313" s="8">
        <v>0.0143</v>
      </c>
      <c r="G313" s="8">
        <f t="shared" si="23"/>
        <v>0.771</v>
      </c>
      <c r="H313" s="8">
        <f t="shared" si="26"/>
        <v>0.008158730158730159</v>
      </c>
      <c r="I313" s="8">
        <f t="shared" si="24"/>
        <v>0.8683</v>
      </c>
      <c r="J313" s="8">
        <f t="shared" si="25"/>
        <v>0.006008996539792387</v>
      </c>
    </row>
    <row r="314" spans="1:10" ht="11.25">
      <c r="A314" s="23" t="s">
        <v>24</v>
      </c>
      <c r="B314" s="9">
        <f>SUM(B300:B313)</f>
        <v>37.660000000000004</v>
      </c>
      <c r="C314" s="8">
        <f>SUM(C300:C313)</f>
        <v>12.823999999999998</v>
      </c>
      <c r="D314" s="8">
        <f>SUM(D300:D313)</f>
        <v>14.908999999999999</v>
      </c>
      <c r="E314" s="8">
        <f>SUM(E300:E313)</f>
        <v>19.499999999999993</v>
      </c>
      <c r="F314" s="8">
        <f>SUM(F300:F313)</f>
        <v>20.1716</v>
      </c>
      <c r="G314" s="8">
        <f t="shared" si="23"/>
        <v>65.393</v>
      </c>
      <c r="H314" s="8">
        <f t="shared" si="26"/>
        <v>0.691989417989418</v>
      </c>
      <c r="I314" s="8">
        <f t="shared" si="24"/>
        <v>105.0646</v>
      </c>
      <c r="J314" s="8">
        <f t="shared" si="25"/>
        <v>0.7270906574394463</v>
      </c>
    </row>
    <row r="315" spans="1:6" ht="11.25">
      <c r="A315" s="22" t="s">
        <v>19</v>
      </c>
      <c r="B315" s="28">
        <v>11</v>
      </c>
      <c r="C315" s="29">
        <v>17</v>
      </c>
      <c r="D315" s="29">
        <v>11</v>
      </c>
      <c r="E315" s="29">
        <v>12</v>
      </c>
      <c r="F315" s="29">
        <v>7</v>
      </c>
    </row>
    <row r="317" ht="11.25">
      <c r="A317" s="31" t="s">
        <v>121</v>
      </c>
    </row>
    <row r="318" spans="1:10" s="18" customFormat="1" ht="11.25">
      <c r="A318" s="33" t="s">
        <v>0</v>
      </c>
      <c r="B318" s="35" t="s">
        <v>21</v>
      </c>
      <c r="C318" s="34" t="s">
        <v>9</v>
      </c>
      <c r="D318" s="34" t="s">
        <v>10</v>
      </c>
      <c r="E318" s="34" t="s">
        <v>11</v>
      </c>
      <c r="F318" s="34" t="s">
        <v>12</v>
      </c>
      <c r="G318" s="34" t="s">
        <v>23</v>
      </c>
      <c r="H318" s="34" t="s">
        <v>26</v>
      </c>
      <c r="I318" s="34" t="s">
        <v>24</v>
      </c>
      <c r="J318" s="34" t="s">
        <v>25</v>
      </c>
    </row>
    <row r="319" spans="1:10" ht="11.25">
      <c r="A319" s="23" t="s">
        <v>4</v>
      </c>
      <c r="B319" s="9">
        <v>1.431</v>
      </c>
      <c r="C319" s="8">
        <v>0.588</v>
      </c>
      <c r="D319" s="8">
        <v>0.667</v>
      </c>
      <c r="E319" s="8">
        <v>0.077</v>
      </c>
      <c r="F319" s="8">
        <v>0.923</v>
      </c>
      <c r="G319" s="8">
        <f>SUM(B319:D319)</f>
        <v>2.686</v>
      </c>
      <c r="H319" s="8">
        <f>G319/94.5</f>
        <v>0.028423280423280423</v>
      </c>
      <c r="I319" s="8">
        <f>SUM(B319:F319)</f>
        <v>3.686</v>
      </c>
      <c r="J319" s="8">
        <f>I319/144.5</f>
        <v>0.025508650519031142</v>
      </c>
    </row>
    <row r="320" spans="1:10" ht="11.25">
      <c r="A320" s="23" t="s">
        <v>5</v>
      </c>
      <c r="B320" s="9">
        <v>0.789</v>
      </c>
      <c r="C320" s="8">
        <v>0.882</v>
      </c>
      <c r="D320" s="8">
        <v>0.083</v>
      </c>
      <c r="E320" s="8">
        <v>0.538</v>
      </c>
      <c r="F320" s="8">
        <v>0.462</v>
      </c>
      <c r="G320" s="8">
        <f aca="true" t="shared" si="27" ref="G320:G333">SUM(B320:D320)</f>
        <v>1.754</v>
      </c>
      <c r="H320" s="8">
        <f>G320/94.5</f>
        <v>0.018560846560846563</v>
      </c>
      <c r="I320" s="8">
        <f aca="true" t="shared" si="28" ref="I320:I333">SUM(B320:F320)</f>
        <v>2.754</v>
      </c>
      <c r="J320" s="8">
        <f aca="true" t="shared" si="29" ref="J320:J333">I320/144.5</f>
        <v>0.019058823529411763</v>
      </c>
    </row>
    <row r="321" spans="1:10" ht="11.25">
      <c r="A321" s="23" t="s">
        <v>3</v>
      </c>
      <c r="B321" s="9">
        <v>17.152</v>
      </c>
      <c r="C321" s="8">
        <v>6.824</v>
      </c>
      <c r="D321" s="8">
        <v>7.583</v>
      </c>
      <c r="E321" s="8">
        <v>5.692</v>
      </c>
      <c r="F321" s="8">
        <v>6.462</v>
      </c>
      <c r="G321" s="8">
        <f t="shared" si="27"/>
        <v>31.558999999999997</v>
      </c>
      <c r="H321" s="8">
        <f aca="true" t="shared" si="30" ref="H321:H333">G321/94.5</f>
        <v>0.33395767195767195</v>
      </c>
      <c r="I321" s="8">
        <f t="shared" si="28"/>
        <v>43.712999999999994</v>
      </c>
      <c r="J321" s="8">
        <f t="shared" si="29"/>
        <v>0.3025121107266436</v>
      </c>
    </row>
    <row r="322" spans="1:10" ht="11.25">
      <c r="A322" s="23" t="s">
        <v>1</v>
      </c>
      <c r="B322" s="9">
        <v>0.241</v>
      </c>
      <c r="C322" s="8">
        <v>0.118</v>
      </c>
      <c r="D322" s="8">
        <v>0.583</v>
      </c>
      <c r="E322" s="8">
        <v>0.077</v>
      </c>
      <c r="F322" s="8">
        <v>0.231</v>
      </c>
      <c r="G322" s="8">
        <f t="shared" si="27"/>
        <v>0.942</v>
      </c>
      <c r="H322" s="8">
        <f t="shared" si="30"/>
        <v>0.009968253968253968</v>
      </c>
      <c r="I322" s="8">
        <f t="shared" si="28"/>
        <v>1.25</v>
      </c>
      <c r="J322" s="8">
        <f t="shared" si="29"/>
        <v>0.00865051903114187</v>
      </c>
    </row>
    <row r="323" spans="1:10" ht="11.25">
      <c r="A323" s="23" t="s">
        <v>2</v>
      </c>
      <c r="B323" s="9">
        <v>0.297</v>
      </c>
      <c r="C323" s="8">
        <v>0.059</v>
      </c>
      <c r="D323" s="8">
        <v>0</v>
      </c>
      <c r="E323" s="8">
        <v>0</v>
      </c>
      <c r="F323" s="8">
        <v>0</v>
      </c>
      <c r="G323" s="8">
        <f t="shared" si="27"/>
        <v>0.356</v>
      </c>
      <c r="H323" s="8">
        <f t="shared" si="30"/>
        <v>0.003767195767195767</v>
      </c>
      <c r="I323" s="8">
        <f t="shared" si="28"/>
        <v>0.356</v>
      </c>
      <c r="J323" s="8">
        <f t="shared" si="29"/>
        <v>0.002463667820069204</v>
      </c>
    </row>
    <row r="324" spans="1:10" ht="11.25">
      <c r="A324" s="23" t="s">
        <v>17</v>
      </c>
      <c r="B324" s="9">
        <v>0.579</v>
      </c>
      <c r="C324" s="8">
        <v>0.176</v>
      </c>
      <c r="D324" s="8">
        <v>0.667</v>
      </c>
      <c r="E324" s="8">
        <v>0.769</v>
      </c>
      <c r="F324" s="8">
        <v>0.231</v>
      </c>
      <c r="G324" s="8">
        <f t="shared" si="27"/>
        <v>1.422</v>
      </c>
      <c r="H324" s="8">
        <f t="shared" si="30"/>
        <v>0.015047619047619048</v>
      </c>
      <c r="I324" s="8">
        <f t="shared" si="28"/>
        <v>2.4219999999999997</v>
      </c>
      <c r="J324" s="8">
        <f t="shared" si="29"/>
        <v>0.016761245674740483</v>
      </c>
    </row>
    <row r="325" spans="1:10" ht="11.25">
      <c r="A325" s="23" t="s">
        <v>13</v>
      </c>
      <c r="B325" s="9">
        <v>0.886</v>
      </c>
      <c r="C325" s="8">
        <v>0.588</v>
      </c>
      <c r="D325" s="8">
        <v>1.167</v>
      </c>
      <c r="E325" s="8">
        <v>0.077</v>
      </c>
      <c r="F325" s="8">
        <v>0.154</v>
      </c>
      <c r="G325" s="8">
        <f t="shared" si="27"/>
        <v>2.641</v>
      </c>
      <c r="H325" s="8">
        <f t="shared" si="30"/>
        <v>0.027947089947089946</v>
      </c>
      <c r="I325" s="8">
        <f t="shared" si="28"/>
        <v>2.872</v>
      </c>
      <c r="J325" s="8">
        <f t="shared" si="29"/>
        <v>0.019875432525951555</v>
      </c>
    </row>
    <row r="326" spans="1:10" ht="11.25">
      <c r="A326" s="23" t="s">
        <v>18</v>
      </c>
      <c r="B326" s="9">
        <v>0</v>
      </c>
      <c r="C326" s="8">
        <v>0.235</v>
      </c>
      <c r="D326" s="8">
        <v>0.167</v>
      </c>
      <c r="E326" s="8">
        <v>0</v>
      </c>
      <c r="F326" s="8">
        <v>0.154</v>
      </c>
      <c r="G326" s="8">
        <f t="shared" si="27"/>
        <v>0.402</v>
      </c>
      <c r="H326" s="8">
        <f t="shared" si="30"/>
        <v>0.004253968253968254</v>
      </c>
      <c r="I326" s="8">
        <f t="shared" si="28"/>
        <v>0.556</v>
      </c>
      <c r="J326" s="8">
        <f t="shared" si="29"/>
        <v>0.0038477508650519034</v>
      </c>
    </row>
    <row r="327" spans="1:10" ht="11.25">
      <c r="A327" s="23" t="s">
        <v>6</v>
      </c>
      <c r="B327" s="9">
        <v>6.852</v>
      </c>
      <c r="C327" s="8">
        <v>3</v>
      </c>
      <c r="D327" s="8">
        <v>2.667</v>
      </c>
      <c r="E327" s="8">
        <v>6.231</v>
      </c>
      <c r="F327" s="8">
        <v>3.462</v>
      </c>
      <c r="G327" s="8">
        <f t="shared" si="27"/>
        <v>12.519</v>
      </c>
      <c r="H327" s="8">
        <f t="shared" si="30"/>
        <v>0.13247619047619047</v>
      </c>
      <c r="I327" s="8">
        <f t="shared" si="28"/>
        <v>22.212</v>
      </c>
      <c r="J327" s="8">
        <f t="shared" si="29"/>
        <v>0.15371626297577853</v>
      </c>
    </row>
    <row r="328" spans="1:10" ht="11.25">
      <c r="A328" s="23" t="s">
        <v>7</v>
      </c>
      <c r="B328" s="9">
        <v>0.164</v>
      </c>
      <c r="C328" s="8">
        <v>0.059</v>
      </c>
      <c r="D328" s="8">
        <v>0.083</v>
      </c>
      <c r="E328" s="8">
        <v>0.308</v>
      </c>
      <c r="F328" s="8">
        <v>0.077</v>
      </c>
      <c r="G328" s="8">
        <f t="shared" si="27"/>
        <v>0.306</v>
      </c>
      <c r="H328" s="8">
        <f t="shared" si="30"/>
        <v>0.003238095238095238</v>
      </c>
      <c r="I328" s="8">
        <f t="shared" si="28"/>
        <v>0.691</v>
      </c>
      <c r="J328" s="8">
        <f t="shared" si="29"/>
        <v>0.004782006920415224</v>
      </c>
    </row>
    <row r="329" spans="1:10" ht="11.25">
      <c r="A329" s="23" t="s">
        <v>114</v>
      </c>
      <c r="B329" s="9">
        <v>0</v>
      </c>
      <c r="C329" s="8">
        <v>0</v>
      </c>
      <c r="D329" s="8">
        <v>0</v>
      </c>
      <c r="E329" s="8">
        <v>0.308</v>
      </c>
      <c r="F329" s="8">
        <v>0</v>
      </c>
      <c r="G329" s="8">
        <f t="shared" si="27"/>
        <v>0</v>
      </c>
      <c r="H329" s="8">
        <f t="shared" si="30"/>
        <v>0</v>
      </c>
      <c r="I329" s="8">
        <f t="shared" si="28"/>
        <v>0.308</v>
      </c>
      <c r="J329" s="8">
        <f t="shared" si="29"/>
        <v>0.0021314878892733564</v>
      </c>
    </row>
    <row r="330" spans="1:10" ht="11.25">
      <c r="A330" s="23" t="s">
        <v>15</v>
      </c>
      <c r="B330" s="9">
        <v>0.12</v>
      </c>
      <c r="C330" s="8">
        <v>0</v>
      </c>
      <c r="D330" s="8">
        <v>0</v>
      </c>
      <c r="E330" s="8">
        <v>0.077</v>
      </c>
      <c r="F330" s="8">
        <v>0.077</v>
      </c>
      <c r="G330" s="8">
        <f t="shared" si="27"/>
        <v>0.12</v>
      </c>
      <c r="H330" s="8">
        <f t="shared" si="30"/>
        <v>0.0012698412698412698</v>
      </c>
      <c r="I330" s="8">
        <f t="shared" si="28"/>
        <v>0.274</v>
      </c>
      <c r="J330" s="8">
        <f t="shared" si="29"/>
        <v>0.0018961937716262978</v>
      </c>
    </row>
    <row r="331" spans="1:10" ht="11.25">
      <c r="A331" s="23" t="s">
        <v>108</v>
      </c>
      <c r="B331" s="9">
        <v>0.077</v>
      </c>
      <c r="C331" s="8">
        <v>0</v>
      </c>
      <c r="D331" s="8">
        <v>0.083</v>
      </c>
      <c r="E331" s="8">
        <v>0.077</v>
      </c>
      <c r="F331" s="8">
        <v>0.077</v>
      </c>
      <c r="G331" s="8">
        <f t="shared" si="27"/>
        <v>0.16</v>
      </c>
      <c r="H331" s="8">
        <f t="shared" si="30"/>
        <v>0.0016931216931216932</v>
      </c>
      <c r="I331" s="8">
        <f t="shared" si="28"/>
        <v>0.314</v>
      </c>
      <c r="J331" s="8">
        <f t="shared" si="29"/>
        <v>0.0021730103806228375</v>
      </c>
    </row>
    <row r="332" spans="1:10" ht="11.25">
      <c r="A332" s="23" t="s">
        <v>16</v>
      </c>
      <c r="B332" s="9">
        <v>1.054</v>
      </c>
      <c r="C332" s="8">
        <v>0.118</v>
      </c>
      <c r="D332" s="8">
        <v>0.154</v>
      </c>
      <c r="E332" s="8">
        <v>0.385</v>
      </c>
      <c r="F332" s="8">
        <v>0.154</v>
      </c>
      <c r="G332" s="8">
        <f t="shared" si="27"/>
        <v>1.326</v>
      </c>
      <c r="H332" s="8">
        <f t="shared" si="30"/>
        <v>0.014031746031746032</v>
      </c>
      <c r="I332" s="8">
        <f t="shared" si="28"/>
        <v>1.865</v>
      </c>
      <c r="J332" s="8">
        <f t="shared" si="29"/>
        <v>0.012906574394463667</v>
      </c>
    </row>
    <row r="333" spans="1:10" ht="11.25">
      <c r="A333" s="23" t="s">
        <v>24</v>
      </c>
      <c r="B333" s="9">
        <f>SUM(B319:B332)</f>
        <v>29.642000000000003</v>
      </c>
      <c r="C333" s="8">
        <f>SUM(C319:C332)</f>
        <v>12.646999999999998</v>
      </c>
      <c r="D333" s="8">
        <f>SUM(D319:D332)</f>
        <v>13.904</v>
      </c>
      <c r="E333" s="8">
        <f>SUM(E319:E332)</f>
        <v>14.616</v>
      </c>
      <c r="F333" s="8">
        <f>SUM(F319:F332)</f>
        <v>12.463999999999999</v>
      </c>
      <c r="G333" s="8">
        <f t="shared" si="27"/>
        <v>56.193</v>
      </c>
      <c r="H333" s="8">
        <f t="shared" si="30"/>
        <v>0.5946349206349206</v>
      </c>
      <c r="I333" s="8">
        <f t="shared" si="28"/>
        <v>83.273</v>
      </c>
      <c r="J333" s="8">
        <f t="shared" si="29"/>
        <v>0.5762837370242214</v>
      </c>
    </row>
    <row r="334" spans="1:6" ht="11.25">
      <c r="A334" s="22" t="s">
        <v>19</v>
      </c>
      <c r="B334" s="30">
        <v>13</v>
      </c>
      <c r="C334" s="14" t="s">
        <v>122</v>
      </c>
      <c r="D334" s="14" t="s">
        <v>123</v>
      </c>
      <c r="E334" s="14" t="s">
        <v>124</v>
      </c>
      <c r="F334" s="14" t="s">
        <v>124</v>
      </c>
    </row>
    <row r="336" ht="11.25">
      <c r="A336" s="31" t="s">
        <v>144</v>
      </c>
    </row>
    <row r="337" spans="1:10" ht="11.25">
      <c r="A337" s="33" t="s">
        <v>0</v>
      </c>
      <c r="B337" s="35" t="s">
        <v>21</v>
      </c>
      <c r="C337" s="34" t="s">
        <v>9</v>
      </c>
      <c r="D337" s="34" t="s">
        <v>10</v>
      </c>
      <c r="E337" s="34" t="s">
        <v>11</v>
      </c>
      <c r="F337" s="34" t="s">
        <v>12</v>
      </c>
      <c r="G337" s="34" t="s">
        <v>23</v>
      </c>
      <c r="H337" s="34" t="s">
        <v>26</v>
      </c>
      <c r="I337" s="34" t="s">
        <v>24</v>
      </c>
      <c r="J337" s="34" t="s">
        <v>25</v>
      </c>
    </row>
    <row r="338" spans="1:10" ht="11.25">
      <c r="A338" s="23" t="s">
        <v>4</v>
      </c>
      <c r="B338" s="9">
        <v>1.85</v>
      </c>
      <c r="C338" s="8">
        <v>0.8</v>
      </c>
      <c r="D338" s="8">
        <v>0.727</v>
      </c>
      <c r="E338" s="8">
        <v>0.684</v>
      </c>
      <c r="F338" s="8">
        <v>1.083</v>
      </c>
      <c r="G338" s="8">
        <f aca="true" t="shared" si="31" ref="G338:G352">SUM(B338:D338)</f>
        <v>3.3770000000000002</v>
      </c>
      <c r="H338" s="8">
        <f>G338/94.5</f>
        <v>0.03573544973544974</v>
      </c>
      <c r="I338" s="8">
        <f>SUM(B338:F338)</f>
        <v>5.144</v>
      </c>
      <c r="J338" s="8">
        <f>I338/144.5</f>
        <v>0.03559861591695502</v>
      </c>
    </row>
    <row r="339" spans="1:10" ht="11.25">
      <c r="A339" s="23" t="s">
        <v>5</v>
      </c>
      <c r="B339" s="9">
        <v>1.683</v>
      </c>
      <c r="C339" s="8">
        <v>0.52</v>
      </c>
      <c r="D339" s="8">
        <v>0.455</v>
      </c>
      <c r="E339" s="8">
        <v>0.947</v>
      </c>
      <c r="F339" s="8">
        <v>0.083</v>
      </c>
      <c r="G339" s="8">
        <f t="shared" si="31"/>
        <v>2.6580000000000004</v>
      </c>
      <c r="H339" s="8">
        <f>G339/94.5</f>
        <v>0.028126984126984132</v>
      </c>
      <c r="I339" s="8">
        <f aca="true" t="shared" si="32" ref="I339:I352">SUM(B339:F339)</f>
        <v>3.6880000000000006</v>
      </c>
      <c r="J339" s="8">
        <f aca="true" t="shared" si="33" ref="J339:J352">I339/144.5</f>
        <v>0.025522491349480973</v>
      </c>
    </row>
    <row r="340" spans="1:10" ht="11.25">
      <c r="A340" s="23" t="s">
        <v>3</v>
      </c>
      <c r="B340" s="9">
        <v>14.183</v>
      </c>
      <c r="C340" s="8">
        <v>4.84</v>
      </c>
      <c r="D340" s="8">
        <v>8.864</v>
      </c>
      <c r="E340" s="8">
        <v>10.053</v>
      </c>
      <c r="F340" s="8">
        <v>6.167</v>
      </c>
      <c r="G340" s="8">
        <f t="shared" si="31"/>
        <v>27.887</v>
      </c>
      <c r="H340" s="8">
        <f aca="true" t="shared" si="34" ref="H340:H352">G340/94.5</f>
        <v>0.2951005291005291</v>
      </c>
      <c r="I340" s="8">
        <f t="shared" si="32"/>
        <v>44.107</v>
      </c>
      <c r="J340" s="8">
        <f t="shared" si="33"/>
        <v>0.3052387543252595</v>
      </c>
    </row>
    <row r="341" spans="1:10" ht="11.25">
      <c r="A341" s="23" t="s">
        <v>1</v>
      </c>
      <c r="B341" s="9">
        <v>0.15</v>
      </c>
      <c r="C341" s="8">
        <v>0</v>
      </c>
      <c r="D341" s="8">
        <v>0.636</v>
      </c>
      <c r="E341" s="8">
        <v>0.105</v>
      </c>
      <c r="F341" s="8">
        <v>0.5</v>
      </c>
      <c r="G341" s="8">
        <f t="shared" si="31"/>
        <v>0.786</v>
      </c>
      <c r="H341" s="8">
        <f t="shared" si="34"/>
        <v>0.008317460317460317</v>
      </c>
      <c r="I341" s="8">
        <f t="shared" si="32"/>
        <v>1.391</v>
      </c>
      <c r="J341" s="8">
        <f t="shared" si="33"/>
        <v>0.009626297577854671</v>
      </c>
    </row>
    <row r="342" spans="1:10" ht="11.25">
      <c r="A342" s="23" t="s">
        <v>2</v>
      </c>
      <c r="B342" s="9">
        <v>0.183</v>
      </c>
      <c r="C342" s="8">
        <v>0.04</v>
      </c>
      <c r="D342" s="8">
        <v>0.136</v>
      </c>
      <c r="E342" s="8">
        <v>0.105</v>
      </c>
      <c r="F342" s="8">
        <v>0</v>
      </c>
      <c r="G342" s="8">
        <f t="shared" si="31"/>
        <v>0.359</v>
      </c>
      <c r="H342" s="8">
        <f t="shared" si="34"/>
        <v>0.0037989417989417987</v>
      </c>
      <c r="I342" s="8">
        <f t="shared" si="32"/>
        <v>0.46399999999999997</v>
      </c>
      <c r="J342" s="8">
        <f t="shared" si="33"/>
        <v>0.0032110726643598615</v>
      </c>
    </row>
    <row r="343" spans="1:10" ht="11.25">
      <c r="A343" s="23" t="s">
        <v>17</v>
      </c>
      <c r="B343" s="9">
        <v>0.8</v>
      </c>
      <c r="C343" s="8">
        <v>0.2</v>
      </c>
      <c r="D343" s="8">
        <v>0.682</v>
      </c>
      <c r="E343" s="8">
        <v>1</v>
      </c>
      <c r="F343" s="8">
        <v>0.583</v>
      </c>
      <c r="G343" s="8">
        <f t="shared" si="31"/>
        <v>1.682</v>
      </c>
      <c r="H343" s="8">
        <f t="shared" si="34"/>
        <v>0.017798941798941797</v>
      </c>
      <c r="I343" s="8">
        <f t="shared" si="32"/>
        <v>3.2649999999999997</v>
      </c>
      <c r="J343" s="8">
        <f t="shared" si="33"/>
        <v>0.02259515570934256</v>
      </c>
    </row>
    <row r="344" spans="1:10" ht="11.25">
      <c r="A344" s="23" t="s">
        <v>13</v>
      </c>
      <c r="B344" s="9">
        <v>0.6</v>
      </c>
      <c r="C344" s="8">
        <v>0.04</v>
      </c>
      <c r="D344" s="8">
        <v>1.045</v>
      </c>
      <c r="E344" s="8">
        <v>0.211</v>
      </c>
      <c r="F344" s="8">
        <v>0</v>
      </c>
      <c r="G344" s="8">
        <f t="shared" si="31"/>
        <v>1.685</v>
      </c>
      <c r="H344" s="8">
        <f t="shared" si="34"/>
        <v>0.017830687830687832</v>
      </c>
      <c r="I344" s="8">
        <f t="shared" si="32"/>
        <v>1.8960000000000001</v>
      </c>
      <c r="J344" s="8">
        <f t="shared" si="33"/>
        <v>0.013121107266435988</v>
      </c>
    </row>
    <row r="345" spans="1:10" ht="11.25">
      <c r="A345" s="23" t="s">
        <v>18</v>
      </c>
      <c r="B345" s="9">
        <v>0.067</v>
      </c>
      <c r="C345" s="8">
        <v>0.04</v>
      </c>
      <c r="D345" s="8">
        <v>0.182</v>
      </c>
      <c r="E345" s="8">
        <v>0</v>
      </c>
      <c r="F345" s="8">
        <v>0</v>
      </c>
      <c r="G345" s="8">
        <f t="shared" si="31"/>
        <v>0.28900000000000003</v>
      </c>
      <c r="H345" s="8">
        <f t="shared" si="34"/>
        <v>0.0030582010582010585</v>
      </c>
      <c r="I345" s="8">
        <f t="shared" si="32"/>
        <v>0.28900000000000003</v>
      </c>
      <c r="J345" s="8">
        <f t="shared" si="33"/>
        <v>0.002</v>
      </c>
    </row>
    <row r="346" spans="1:10" ht="11.25">
      <c r="A346" s="23" t="s">
        <v>6</v>
      </c>
      <c r="B346" s="9">
        <v>9.133</v>
      </c>
      <c r="C346" s="8">
        <v>4.12</v>
      </c>
      <c r="D346" s="8">
        <v>4.045</v>
      </c>
      <c r="E346" s="8">
        <v>6.579</v>
      </c>
      <c r="F346" s="8">
        <v>6.083</v>
      </c>
      <c r="G346" s="8">
        <f t="shared" si="31"/>
        <v>17.298000000000002</v>
      </c>
      <c r="H346" s="8">
        <f t="shared" si="34"/>
        <v>0.18304761904761907</v>
      </c>
      <c r="I346" s="8">
        <f t="shared" si="32"/>
        <v>29.96</v>
      </c>
      <c r="J346" s="8">
        <f t="shared" si="33"/>
        <v>0.2073356401384083</v>
      </c>
    </row>
    <row r="347" spans="1:10" ht="11.25">
      <c r="A347" s="23" t="s">
        <v>7</v>
      </c>
      <c r="B347" s="9">
        <v>0.2</v>
      </c>
      <c r="C347" s="8">
        <v>0.16</v>
      </c>
      <c r="D347" s="8">
        <v>0.091</v>
      </c>
      <c r="E347" s="8">
        <v>0.211</v>
      </c>
      <c r="F347" s="8">
        <v>0</v>
      </c>
      <c r="G347" s="8">
        <f t="shared" si="31"/>
        <v>0.45099999999999996</v>
      </c>
      <c r="H347" s="8">
        <f t="shared" si="34"/>
        <v>0.004772486772486772</v>
      </c>
      <c r="I347" s="8">
        <f t="shared" si="32"/>
        <v>0.6619999999999999</v>
      </c>
      <c r="J347" s="8">
        <f t="shared" si="33"/>
        <v>0.004581314878892733</v>
      </c>
    </row>
    <row r="348" spans="1:10" ht="11.25">
      <c r="A348" s="23" t="s">
        <v>114</v>
      </c>
      <c r="B348" s="9">
        <v>0.067</v>
      </c>
      <c r="C348" s="8">
        <v>0</v>
      </c>
      <c r="D348" s="8">
        <v>0</v>
      </c>
      <c r="E348" s="8">
        <v>0</v>
      </c>
      <c r="F348" s="8">
        <v>0.083</v>
      </c>
      <c r="G348" s="8">
        <f t="shared" si="31"/>
        <v>0.067</v>
      </c>
      <c r="H348" s="8">
        <f t="shared" si="34"/>
        <v>0.0007089947089947091</v>
      </c>
      <c r="I348" s="8">
        <f t="shared" si="32"/>
        <v>0.15000000000000002</v>
      </c>
      <c r="J348" s="8">
        <f t="shared" si="33"/>
        <v>0.0010380622837370243</v>
      </c>
    </row>
    <row r="349" spans="1:10" ht="11.25">
      <c r="A349" s="23" t="s">
        <v>15</v>
      </c>
      <c r="B349" s="9">
        <v>0</v>
      </c>
      <c r="C349" s="8">
        <v>0.08</v>
      </c>
      <c r="D349" s="8">
        <v>0.045</v>
      </c>
      <c r="E349" s="8">
        <v>0.053</v>
      </c>
      <c r="F349" s="8">
        <v>0</v>
      </c>
      <c r="G349" s="8">
        <f t="shared" si="31"/>
        <v>0.125</v>
      </c>
      <c r="H349" s="8">
        <f t="shared" si="34"/>
        <v>0.0013227513227513227</v>
      </c>
      <c r="I349" s="8">
        <f t="shared" si="32"/>
        <v>0.178</v>
      </c>
      <c r="J349" s="8">
        <f t="shared" si="33"/>
        <v>0.001231833910034602</v>
      </c>
    </row>
    <row r="350" spans="1:10" ht="11.25">
      <c r="A350" s="23" t="s">
        <v>108</v>
      </c>
      <c r="B350" s="9">
        <v>0</v>
      </c>
      <c r="C350" s="8">
        <v>0</v>
      </c>
      <c r="D350" s="8">
        <v>0</v>
      </c>
      <c r="E350" s="8">
        <v>0</v>
      </c>
      <c r="F350" s="8">
        <v>0</v>
      </c>
      <c r="G350" s="8">
        <f t="shared" si="31"/>
        <v>0</v>
      </c>
      <c r="H350" s="8">
        <f t="shared" si="34"/>
        <v>0</v>
      </c>
      <c r="I350" s="8">
        <f t="shared" si="32"/>
        <v>0</v>
      </c>
      <c r="J350" s="8">
        <f t="shared" si="33"/>
        <v>0</v>
      </c>
    </row>
    <row r="351" spans="1:10" ht="11.25">
      <c r="A351" s="23" t="s">
        <v>16</v>
      </c>
      <c r="B351" s="9">
        <v>1.183</v>
      </c>
      <c r="C351" s="8">
        <v>0.36</v>
      </c>
      <c r="D351" s="8">
        <v>0.364</v>
      </c>
      <c r="E351" s="8">
        <v>0</v>
      </c>
      <c r="F351" s="8">
        <v>0.083</v>
      </c>
      <c r="G351" s="8">
        <f t="shared" si="31"/>
        <v>1.907</v>
      </c>
      <c r="H351" s="8">
        <f t="shared" si="34"/>
        <v>0.02017989417989418</v>
      </c>
      <c r="I351" s="8">
        <f t="shared" si="32"/>
        <v>1.99</v>
      </c>
      <c r="J351" s="8">
        <f t="shared" si="33"/>
        <v>0.013771626297577855</v>
      </c>
    </row>
    <row r="352" spans="1:10" ht="11.25">
      <c r="A352" s="23" t="s">
        <v>24</v>
      </c>
      <c r="B352" s="9">
        <v>30.983</v>
      </c>
      <c r="C352" s="8">
        <v>11.28</v>
      </c>
      <c r="D352" s="8">
        <v>17.409</v>
      </c>
      <c r="E352" s="8">
        <v>19.947</v>
      </c>
      <c r="F352" s="8">
        <v>15.083</v>
      </c>
      <c r="G352" s="8">
        <f t="shared" si="31"/>
        <v>59.672</v>
      </c>
      <c r="H352" s="8">
        <f t="shared" si="34"/>
        <v>0.6314497354497354</v>
      </c>
      <c r="I352" s="8">
        <f t="shared" si="32"/>
        <v>94.702</v>
      </c>
      <c r="J352" s="8">
        <f t="shared" si="33"/>
        <v>0.6553771626297578</v>
      </c>
    </row>
    <row r="353" spans="1:6" ht="11.25">
      <c r="A353" s="22" t="s">
        <v>19</v>
      </c>
      <c r="B353" s="30" t="s">
        <v>145</v>
      </c>
      <c r="C353" s="14" t="s">
        <v>146</v>
      </c>
      <c r="D353" s="14" t="s">
        <v>149</v>
      </c>
      <c r="E353" s="14" t="s">
        <v>147</v>
      </c>
      <c r="F353" s="14" t="s">
        <v>123</v>
      </c>
    </row>
    <row r="355" ht="11.25">
      <c r="A355" s="31" t="s">
        <v>150</v>
      </c>
    </row>
    <row r="356" spans="1:10" ht="11.25">
      <c r="A356" s="33" t="s">
        <v>0</v>
      </c>
      <c r="B356" s="35" t="s">
        <v>21</v>
      </c>
      <c r="C356" s="34" t="s">
        <v>9</v>
      </c>
      <c r="D356" s="34" t="s">
        <v>10</v>
      </c>
      <c r="E356" s="34" t="s">
        <v>11</v>
      </c>
      <c r="F356" s="34" t="s">
        <v>12</v>
      </c>
      <c r="G356" s="34" t="s">
        <v>23</v>
      </c>
      <c r="H356" s="34" t="s">
        <v>26</v>
      </c>
      <c r="I356" s="34" t="s">
        <v>24</v>
      </c>
      <c r="J356" s="34" t="s">
        <v>25</v>
      </c>
    </row>
    <row r="357" spans="1:10" ht="11.25">
      <c r="A357" s="23" t="s">
        <v>4</v>
      </c>
      <c r="B357" s="9">
        <v>0.794</v>
      </c>
      <c r="C357" s="8">
        <v>0.579</v>
      </c>
      <c r="D357" s="8">
        <v>0.345</v>
      </c>
      <c r="E357" s="8">
        <v>0.333</v>
      </c>
      <c r="F357" s="8">
        <v>1.526</v>
      </c>
      <c r="G357" s="8">
        <f>SUM(B357:D357)</f>
        <v>1.718</v>
      </c>
      <c r="H357" s="8">
        <f>G357/94.5</f>
        <v>0.018179894179894178</v>
      </c>
      <c r="I357" s="8">
        <f>SUM(B357:F357)</f>
        <v>3.577</v>
      </c>
      <c r="J357" s="8">
        <f>I357/144.5</f>
        <v>0.02475432525951557</v>
      </c>
    </row>
    <row r="358" spans="1:10" ht="11.25">
      <c r="A358" s="23" t="s">
        <v>5</v>
      </c>
      <c r="B358" s="9">
        <v>0.704</v>
      </c>
      <c r="C358" s="8">
        <v>0.368</v>
      </c>
      <c r="D358" s="8">
        <v>0.034</v>
      </c>
      <c r="E358" s="8">
        <v>0.533</v>
      </c>
      <c r="F358" s="8">
        <v>0.842</v>
      </c>
      <c r="G358" s="8">
        <f>SUM(B358:D358)</f>
        <v>1.106</v>
      </c>
      <c r="H358" s="8">
        <f>G358/94.5</f>
        <v>0.011703703703703704</v>
      </c>
      <c r="I358" s="8">
        <f aca="true" t="shared" si="35" ref="I358:I371">SUM(B358:F358)</f>
        <v>2.4810000000000003</v>
      </c>
      <c r="J358" s="8">
        <f aca="true" t="shared" si="36" ref="J358:J371">I358/144.5</f>
        <v>0.017169550173010382</v>
      </c>
    </row>
    <row r="359" spans="1:10" ht="11.25">
      <c r="A359" s="23" t="s">
        <v>3</v>
      </c>
      <c r="B359" s="9">
        <v>12.144</v>
      </c>
      <c r="C359" s="8">
        <v>4.316</v>
      </c>
      <c r="D359" s="8">
        <v>7.586</v>
      </c>
      <c r="E359" s="8">
        <v>11.667</v>
      </c>
      <c r="F359" s="8">
        <v>7.947</v>
      </c>
      <c r="G359" s="8">
        <f aca="true" t="shared" si="37" ref="G359:G371">SUM(B359:D359)</f>
        <v>24.046</v>
      </c>
      <c r="H359" s="8">
        <f aca="true" t="shared" si="38" ref="H359:H371">G359/94.5</f>
        <v>0.25445502645502643</v>
      </c>
      <c r="I359" s="8">
        <f t="shared" si="35"/>
        <v>43.660000000000004</v>
      </c>
      <c r="J359" s="8">
        <f t="shared" si="36"/>
        <v>0.3021453287197232</v>
      </c>
    </row>
    <row r="360" spans="1:10" ht="11.25">
      <c r="A360" s="23" t="s">
        <v>1</v>
      </c>
      <c r="B360" s="9">
        <v>1.09</v>
      </c>
      <c r="C360" s="8">
        <v>0.158</v>
      </c>
      <c r="D360" s="8">
        <v>0.138</v>
      </c>
      <c r="E360" s="8">
        <v>0.267</v>
      </c>
      <c r="F360" s="8">
        <v>0.579</v>
      </c>
      <c r="G360" s="8">
        <f t="shared" si="37"/>
        <v>1.3860000000000001</v>
      </c>
      <c r="H360" s="8">
        <f t="shared" si="38"/>
        <v>0.014666666666666668</v>
      </c>
      <c r="I360" s="8">
        <f t="shared" si="35"/>
        <v>2.232</v>
      </c>
      <c r="J360" s="8">
        <f t="shared" si="36"/>
        <v>0.015446366782006922</v>
      </c>
    </row>
    <row r="361" spans="1:10" ht="11.25">
      <c r="A361" s="23" t="s">
        <v>2</v>
      </c>
      <c r="B361" s="9">
        <v>0.481</v>
      </c>
      <c r="C361" s="8">
        <v>0</v>
      </c>
      <c r="D361" s="8">
        <v>0.069</v>
      </c>
      <c r="E361" s="8">
        <v>0.067</v>
      </c>
      <c r="F361" s="8">
        <v>0.105</v>
      </c>
      <c r="G361" s="8">
        <f t="shared" si="37"/>
        <v>0.55</v>
      </c>
      <c r="H361" s="8">
        <f t="shared" si="38"/>
        <v>0.005820105820105821</v>
      </c>
      <c r="I361" s="8">
        <f t="shared" si="35"/>
        <v>0.722</v>
      </c>
      <c r="J361" s="8">
        <f t="shared" si="36"/>
        <v>0.004996539792387543</v>
      </c>
    </row>
    <row r="362" spans="1:10" ht="11.25">
      <c r="A362" s="23" t="s">
        <v>17</v>
      </c>
      <c r="B362" s="9">
        <v>1.011</v>
      </c>
      <c r="C362" s="8">
        <v>0.632</v>
      </c>
      <c r="D362" s="8">
        <v>0.517</v>
      </c>
      <c r="E362" s="8">
        <v>0.333</v>
      </c>
      <c r="F362" s="8">
        <v>0.684</v>
      </c>
      <c r="G362" s="8">
        <f t="shared" si="37"/>
        <v>2.1599999999999997</v>
      </c>
      <c r="H362" s="8">
        <f t="shared" si="38"/>
        <v>0.022857142857142854</v>
      </c>
      <c r="I362" s="8">
        <f t="shared" si="35"/>
        <v>3.177</v>
      </c>
      <c r="J362" s="8">
        <f t="shared" si="36"/>
        <v>0.021986159169550174</v>
      </c>
    </row>
    <row r="363" spans="1:10" ht="11.25">
      <c r="A363" s="23" t="s">
        <v>13</v>
      </c>
      <c r="B363" s="9">
        <v>0.587</v>
      </c>
      <c r="C363" s="8">
        <v>0</v>
      </c>
      <c r="D363" s="8">
        <v>0.483</v>
      </c>
      <c r="E363" s="8">
        <v>0.067</v>
      </c>
      <c r="F363" s="8">
        <v>0.158</v>
      </c>
      <c r="G363" s="8">
        <f t="shared" si="37"/>
        <v>1.0699999999999998</v>
      </c>
      <c r="H363" s="8">
        <f t="shared" si="38"/>
        <v>0.011322751322751321</v>
      </c>
      <c r="I363" s="8">
        <f t="shared" si="35"/>
        <v>1.2949999999999997</v>
      </c>
      <c r="J363" s="8">
        <f t="shared" si="36"/>
        <v>0.008961937716262974</v>
      </c>
    </row>
    <row r="364" spans="1:10" ht="11.25">
      <c r="A364" s="23" t="s">
        <v>18</v>
      </c>
      <c r="B364" s="9">
        <v>0.037</v>
      </c>
      <c r="C364" s="8">
        <v>0.053</v>
      </c>
      <c r="D364" s="8">
        <v>0.103</v>
      </c>
      <c r="E364" s="8">
        <v>0</v>
      </c>
      <c r="F364" s="8">
        <v>0</v>
      </c>
      <c r="G364" s="8">
        <f t="shared" si="37"/>
        <v>0.193</v>
      </c>
      <c r="H364" s="8">
        <f t="shared" si="38"/>
        <v>0.0020423280423280425</v>
      </c>
      <c r="I364" s="8">
        <f t="shared" si="35"/>
        <v>0.193</v>
      </c>
      <c r="J364" s="8">
        <f t="shared" si="36"/>
        <v>0.0013356401384083045</v>
      </c>
    </row>
    <row r="365" spans="1:10" ht="11.25">
      <c r="A365" s="23" t="s">
        <v>6</v>
      </c>
      <c r="B365" s="9">
        <v>6.03</v>
      </c>
      <c r="C365" s="8">
        <v>3.263</v>
      </c>
      <c r="D365" s="8">
        <v>4.103</v>
      </c>
      <c r="E365" s="8">
        <v>7.933</v>
      </c>
      <c r="F365" s="8">
        <v>5.053</v>
      </c>
      <c r="G365" s="8">
        <f t="shared" si="37"/>
        <v>13.395999999999999</v>
      </c>
      <c r="H365" s="8">
        <f t="shared" si="38"/>
        <v>0.14175661375661375</v>
      </c>
      <c r="I365" s="8">
        <f t="shared" si="35"/>
        <v>26.382</v>
      </c>
      <c r="J365" s="8">
        <f t="shared" si="36"/>
        <v>0.18257439446366783</v>
      </c>
    </row>
    <row r="366" spans="1:10" ht="11.25">
      <c r="A366" s="23" t="s">
        <v>7</v>
      </c>
      <c r="B366" s="9">
        <v>0.037</v>
      </c>
      <c r="C366" s="8">
        <v>0</v>
      </c>
      <c r="D366" s="8">
        <v>0.034</v>
      </c>
      <c r="E366" s="8">
        <v>0.267</v>
      </c>
      <c r="F366" s="8">
        <v>0.211</v>
      </c>
      <c r="G366" s="8">
        <f t="shared" si="37"/>
        <v>0.07100000000000001</v>
      </c>
      <c r="H366" s="8">
        <f t="shared" si="38"/>
        <v>0.0007513227513227514</v>
      </c>
      <c r="I366" s="8">
        <f t="shared" si="35"/>
        <v>0.549</v>
      </c>
      <c r="J366" s="8">
        <f t="shared" si="36"/>
        <v>0.0037993079584775088</v>
      </c>
    </row>
    <row r="367" spans="1:10" ht="11.25">
      <c r="A367" s="23" t="s">
        <v>114</v>
      </c>
      <c r="B367" s="9">
        <v>0.048</v>
      </c>
      <c r="C367" s="8">
        <v>0.211</v>
      </c>
      <c r="D367" s="8">
        <v>0</v>
      </c>
      <c r="E367" s="8">
        <v>0.067</v>
      </c>
      <c r="F367" s="8">
        <v>0.053</v>
      </c>
      <c r="G367" s="8">
        <f t="shared" si="37"/>
        <v>0.259</v>
      </c>
      <c r="H367" s="8">
        <f t="shared" si="38"/>
        <v>0.0027407407407407406</v>
      </c>
      <c r="I367" s="8">
        <f t="shared" si="35"/>
        <v>0.379</v>
      </c>
      <c r="J367" s="8">
        <f t="shared" si="36"/>
        <v>0.0026228373702422147</v>
      </c>
    </row>
    <row r="368" spans="1:10" ht="11.25">
      <c r="A368" s="23" t="s">
        <v>15</v>
      </c>
      <c r="B368" s="9">
        <v>0.037</v>
      </c>
      <c r="C368" s="8">
        <v>0.053</v>
      </c>
      <c r="D368" s="8">
        <v>0.069</v>
      </c>
      <c r="E368" s="8">
        <v>0</v>
      </c>
      <c r="F368" s="8">
        <v>0.053</v>
      </c>
      <c r="G368" s="8">
        <f t="shared" si="37"/>
        <v>0.159</v>
      </c>
      <c r="H368" s="8">
        <f t="shared" si="38"/>
        <v>0.0016825396825396826</v>
      </c>
      <c r="I368" s="8">
        <f t="shared" si="35"/>
        <v>0.212</v>
      </c>
      <c r="J368" s="8">
        <f t="shared" si="36"/>
        <v>0.0014671280276816608</v>
      </c>
    </row>
    <row r="369" spans="1:10" ht="11.25">
      <c r="A369" s="23" t="s">
        <v>108</v>
      </c>
      <c r="B369" s="9">
        <v>0.048</v>
      </c>
      <c r="C369" s="8">
        <v>0</v>
      </c>
      <c r="D369" s="8">
        <v>0.034</v>
      </c>
      <c r="E369" s="8">
        <v>0</v>
      </c>
      <c r="F369" s="8">
        <v>0.053</v>
      </c>
      <c r="G369" s="8">
        <f t="shared" si="37"/>
        <v>0.082</v>
      </c>
      <c r="H369" s="8">
        <f t="shared" si="38"/>
        <v>0.0008677248677248677</v>
      </c>
      <c r="I369" s="8">
        <f t="shared" si="35"/>
        <v>0.135</v>
      </c>
      <c r="J369" s="8">
        <f t="shared" si="36"/>
        <v>0.0009342560553633218</v>
      </c>
    </row>
    <row r="370" spans="1:10" ht="11.25">
      <c r="A370" s="23" t="s">
        <v>16</v>
      </c>
      <c r="B370" s="9">
        <v>0.349</v>
      </c>
      <c r="C370" s="8">
        <v>0.053</v>
      </c>
      <c r="D370" s="8">
        <v>0.379</v>
      </c>
      <c r="E370" s="8">
        <v>0.333</v>
      </c>
      <c r="F370" s="8">
        <v>0</v>
      </c>
      <c r="G370" s="8">
        <f t="shared" si="37"/>
        <v>0.7809999999999999</v>
      </c>
      <c r="H370" s="8">
        <f t="shared" si="38"/>
        <v>0.008264550264550264</v>
      </c>
      <c r="I370" s="8">
        <f t="shared" si="35"/>
        <v>1.1139999999999999</v>
      </c>
      <c r="J370" s="8">
        <f t="shared" si="36"/>
        <v>0.007709342560553632</v>
      </c>
    </row>
    <row r="371" spans="1:10" ht="11.25">
      <c r="A371" s="23" t="s">
        <v>24</v>
      </c>
      <c r="B371" s="9">
        <v>23.443</v>
      </c>
      <c r="C371" s="8">
        <v>9.789</v>
      </c>
      <c r="D371" s="8">
        <v>14.207</v>
      </c>
      <c r="E371" s="8">
        <v>21.867</v>
      </c>
      <c r="F371" s="8">
        <v>17.263</v>
      </c>
      <c r="G371" s="8">
        <f t="shared" si="37"/>
        <v>47.439</v>
      </c>
      <c r="H371" s="8">
        <f t="shared" si="38"/>
        <v>0.502</v>
      </c>
      <c r="I371" s="8">
        <f t="shared" si="35"/>
        <v>86.569</v>
      </c>
      <c r="J371" s="8">
        <f t="shared" si="36"/>
        <v>0.5990934256055364</v>
      </c>
    </row>
    <row r="372" spans="1:6" ht="11.25">
      <c r="A372" s="22" t="s">
        <v>19</v>
      </c>
      <c r="B372" s="30" t="s">
        <v>151</v>
      </c>
      <c r="C372" s="14" t="s">
        <v>147</v>
      </c>
      <c r="D372" s="14" t="s">
        <v>152</v>
      </c>
      <c r="E372" s="14" t="s">
        <v>145</v>
      </c>
      <c r="F372" s="14" t="s">
        <v>147</v>
      </c>
    </row>
    <row r="374" ht="11.25">
      <c r="A374" s="31" t="s">
        <v>157</v>
      </c>
    </row>
    <row r="375" spans="1:10" ht="11.25">
      <c r="A375" s="33" t="s">
        <v>0</v>
      </c>
      <c r="B375" s="35" t="s">
        <v>21</v>
      </c>
      <c r="C375" s="34" t="s">
        <v>9</v>
      </c>
      <c r="D375" s="34" t="s">
        <v>10</v>
      </c>
      <c r="E375" s="34" t="s">
        <v>11</v>
      </c>
      <c r="F375" s="34" t="s">
        <v>12</v>
      </c>
      <c r="G375" s="34" t="s">
        <v>23</v>
      </c>
      <c r="H375" s="34" t="s">
        <v>26</v>
      </c>
      <c r="I375" s="34" t="s">
        <v>24</v>
      </c>
      <c r="J375" s="34" t="s">
        <v>25</v>
      </c>
    </row>
    <row r="376" spans="1:10" ht="11.25">
      <c r="A376" s="23" t="s">
        <v>4</v>
      </c>
      <c r="B376" s="9">
        <v>2.958</v>
      </c>
      <c r="C376" s="8">
        <v>0.886</v>
      </c>
      <c r="D376" s="8">
        <v>0.375</v>
      </c>
      <c r="E376" s="8">
        <v>0.417</v>
      </c>
      <c r="F376" s="8">
        <v>1.25</v>
      </c>
      <c r="G376" s="8">
        <f>SUM(B376:D376)</f>
        <v>4.219</v>
      </c>
      <c r="H376" s="8">
        <f>G376/94.5</f>
        <v>0.04464550264550265</v>
      </c>
      <c r="I376" s="8">
        <f>SUM(B376:F376)</f>
        <v>5.886</v>
      </c>
      <c r="J376" s="8">
        <f>I376/144.5</f>
        <v>0.04073356401384083</v>
      </c>
    </row>
    <row r="377" spans="1:10" ht="11.25">
      <c r="A377" s="23" t="s">
        <v>5</v>
      </c>
      <c r="B377" s="9">
        <v>1.083</v>
      </c>
      <c r="C377" s="8">
        <v>0.286</v>
      </c>
      <c r="D377" s="8">
        <v>0.813</v>
      </c>
      <c r="E377" s="8">
        <v>0.667</v>
      </c>
      <c r="F377" s="8">
        <v>1.125</v>
      </c>
      <c r="G377" s="8">
        <f aca="true" t="shared" si="39" ref="G377:G390">SUM(B377:D377)</f>
        <v>2.182</v>
      </c>
      <c r="H377" s="8">
        <f>G377/94.5</f>
        <v>0.02308994708994709</v>
      </c>
      <c r="I377" s="8">
        <f aca="true" t="shared" si="40" ref="I377:I390">SUM(B377:F377)</f>
        <v>3.974</v>
      </c>
      <c r="J377" s="8">
        <f aca="true" t="shared" si="41" ref="J377:J390">I377/144.5</f>
        <v>0.02750173010380623</v>
      </c>
    </row>
    <row r="378" spans="1:10" ht="11.25">
      <c r="A378" s="23" t="s">
        <v>3</v>
      </c>
      <c r="B378" s="9">
        <v>15.377</v>
      </c>
      <c r="C378" s="8">
        <v>4.657</v>
      </c>
      <c r="D378" s="8">
        <v>8.688</v>
      </c>
      <c r="E378" s="8">
        <v>15.667</v>
      </c>
      <c r="F378" s="8">
        <v>12.25</v>
      </c>
      <c r="G378" s="8">
        <f t="shared" si="39"/>
        <v>28.722</v>
      </c>
      <c r="H378" s="8">
        <f aca="true" t="shared" si="42" ref="H378:H390">G378/94.5</f>
        <v>0.30393650793650795</v>
      </c>
      <c r="I378" s="8">
        <f t="shared" si="40"/>
        <v>56.639</v>
      </c>
      <c r="J378" s="8">
        <f t="shared" si="41"/>
        <v>0.39196539792387547</v>
      </c>
    </row>
    <row r="379" spans="1:10" ht="11.25">
      <c r="A379" s="23" t="s">
        <v>1</v>
      </c>
      <c r="B379" s="9">
        <v>0.732</v>
      </c>
      <c r="C379" s="8">
        <v>0.171</v>
      </c>
      <c r="D379" s="8">
        <v>0.063</v>
      </c>
      <c r="E379" s="8">
        <v>0.25</v>
      </c>
      <c r="F379" s="8">
        <v>0.75</v>
      </c>
      <c r="G379" s="8">
        <f t="shared" si="39"/>
        <v>0.966</v>
      </c>
      <c r="H379" s="8">
        <f t="shared" si="42"/>
        <v>0.010222222222222221</v>
      </c>
      <c r="I379" s="8">
        <f t="shared" si="40"/>
        <v>1.966</v>
      </c>
      <c r="J379" s="8">
        <f t="shared" si="41"/>
        <v>0.01360553633217993</v>
      </c>
    </row>
    <row r="380" spans="1:10" ht="11.25">
      <c r="A380" s="23" t="s">
        <v>2</v>
      </c>
      <c r="B380" s="9">
        <v>0.314</v>
      </c>
      <c r="C380" s="8">
        <v>0.086</v>
      </c>
      <c r="D380" s="8">
        <v>0.313</v>
      </c>
      <c r="E380" s="8">
        <v>0.083</v>
      </c>
      <c r="F380" s="8">
        <v>0.125</v>
      </c>
      <c r="G380" s="8">
        <f t="shared" si="39"/>
        <v>0.7130000000000001</v>
      </c>
      <c r="H380" s="8">
        <f t="shared" si="42"/>
        <v>0.007544973544973545</v>
      </c>
      <c r="I380" s="8">
        <f t="shared" si="40"/>
        <v>0.921</v>
      </c>
      <c r="J380" s="8">
        <f t="shared" si="41"/>
        <v>0.006373702422145329</v>
      </c>
    </row>
    <row r="381" spans="1:10" ht="11.25">
      <c r="A381" s="23" t="s">
        <v>17</v>
      </c>
      <c r="B381" s="9">
        <v>1.196</v>
      </c>
      <c r="C381" s="8">
        <v>0.229</v>
      </c>
      <c r="D381" s="8">
        <v>0.375</v>
      </c>
      <c r="E381" s="8">
        <v>1.083</v>
      </c>
      <c r="F381" s="8">
        <v>0.375</v>
      </c>
      <c r="G381" s="8">
        <f t="shared" si="39"/>
        <v>1.8</v>
      </c>
      <c r="H381" s="8">
        <f t="shared" si="42"/>
        <v>0.01904761904761905</v>
      </c>
      <c r="I381" s="8">
        <f t="shared" si="40"/>
        <v>3.258</v>
      </c>
      <c r="J381" s="8">
        <f t="shared" si="41"/>
        <v>0.022546712802768164</v>
      </c>
    </row>
    <row r="382" spans="1:10" ht="11.25">
      <c r="A382" s="23" t="s">
        <v>13</v>
      </c>
      <c r="B382" s="9">
        <v>0.772</v>
      </c>
      <c r="C382" s="8">
        <v>0.086</v>
      </c>
      <c r="D382" s="8">
        <v>0.563</v>
      </c>
      <c r="E382" s="8">
        <v>0.25</v>
      </c>
      <c r="F382" s="8">
        <v>0</v>
      </c>
      <c r="G382" s="8">
        <f t="shared" si="39"/>
        <v>1.4209999999999998</v>
      </c>
      <c r="H382" s="8">
        <f t="shared" si="42"/>
        <v>0.015037037037037035</v>
      </c>
      <c r="I382" s="8">
        <f t="shared" si="40"/>
        <v>1.6709999999999998</v>
      </c>
      <c r="J382" s="8">
        <f t="shared" si="41"/>
        <v>0.011564013840830448</v>
      </c>
    </row>
    <row r="383" spans="1:10" ht="11.25">
      <c r="A383" s="23" t="s">
        <v>18</v>
      </c>
      <c r="B383" s="9">
        <v>0.071</v>
      </c>
      <c r="C383" s="8">
        <v>0.029</v>
      </c>
      <c r="D383" s="8">
        <v>0</v>
      </c>
      <c r="E383" s="8">
        <v>0.083</v>
      </c>
      <c r="F383" s="8">
        <v>0</v>
      </c>
      <c r="G383" s="8">
        <f t="shared" si="39"/>
        <v>0.09999999999999999</v>
      </c>
      <c r="H383" s="8">
        <f t="shared" si="42"/>
        <v>0.001058201058201058</v>
      </c>
      <c r="I383" s="8">
        <f t="shared" si="40"/>
        <v>0.183</v>
      </c>
      <c r="J383" s="8">
        <f t="shared" si="41"/>
        <v>0.0012664359861591695</v>
      </c>
    </row>
    <row r="384" spans="1:10" ht="11.25">
      <c r="A384" s="23" t="s">
        <v>6</v>
      </c>
      <c r="B384" s="9">
        <v>6.134</v>
      </c>
      <c r="C384" s="8">
        <v>2.914</v>
      </c>
      <c r="D384" s="8">
        <v>4.938</v>
      </c>
      <c r="E384" s="8">
        <v>7.833</v>
      </c>
      <c r="F384" s="8">
        <v>6.625</v>
      </c>
      <c r="G384" s="8">
        <f t="shared" si="39"/>
        <v>13.986</v>
      </c>
      <c r="H384" s="8">
        <f t="shared" si="42"/>
        <v>0.14800000000000002</v>
      </c>
      <c r="I384" s="8">
        <f t="shared" si="40"/>
        <v>28.444000000000003</v>
      </c>
      <c r="J384" s="8">
        <f t="shared" si="41"/>
        <v>0.19684429065743947</v>
      </c>
    </row>
    <row r="385" spans="1:10" ht="11.25">
      <c r="A385" s="23" t="s">
        <v>7</v>
      </c>
      <c r="B385" s="9">
        <v>0.167</v>
      </c>
      <c r="C385" s="8">
        <v>0.057</v>
      </c>
      <c r="D385" s="8">
        <v>0.375</v>
      </c>
      <c r="E385" s="8">
        <v>0.333</v>
      </c>
      <c r="F385" s="8">
        <v>0.75</v>
      </c>
      <c r="G385" s="8">
        <f t="shared" si="39"/>
        <v>0.599</v>
      </c>
      <c r="H385" s="8">
        <f t="shared" si="42"/>
        <v>0.006338624338624339</v>
      </c>
      <c r="I385" s="8">
        <f t="shared" si="40"/>
        <v>1.682</v>
      </c>
      <c r="J385" s="8">
        <f t="shared" si="41"/>
        <v>0.011640138408304497</v>
      </c>
    </row>
    <row r="386" spans="1:10" ht="11.25">
      <c r="A386" s="23" t="s">
        <v>114</v>
      </c>
      <c r="B386" s="9">
        <v>0.085</v>
      </c>
      <c r="C386" s="8">
        <v>0.057</v>
      </c>
      <c r="D386" s="8">
        <v>0</v>
      </c>
      <c r="E386" s="8">
        <v>0</v>
      </c>
      <c r="F386" s="8">
        <v>0</v>
      </c>
      <c r="G386" s="8">
        <f t="shared" si="39"/>
        <v>0.14200000000000002</v>
      </c>
      <c r="H386" s="8">
        <f t="shared" si="42"/>
        <v>0.0015026455026455028</v>
      </c>
      <c r="I386" s="8">
        <f t="shared" si="40"/>
        <v>0.14200000000000002</v>
      </c>
      <c r="J386" s="8">
        <f t="shared" si="41"/>
        <v>0.0009826989619377163</v>
      </c>
    </row>
    <row r="387" spans="1:10" ht="11.25">
      <c r="A387" s="23" t="s">
        <v>15</v>
      </c>
      <c r="B387" s="9">
        <v>0.042</v>
      </c>
      <c r="C387" s="8">
        <v>0</v>
      </c>
      <c r="D387" s="8">
        <v>0</v>
      </c>
      <c r="E387" s="8">
        <v>0.083</v>
      </c>
      <c r="F387" s="8">
        <v>0</v>
      </c>
      <c r="G387" s="8">
        <f t="shared" si="39"/>
        <v>0.042</v>
      </c>
      <c r="H387" s="8">
        <f t="shared" si="42"/>
        <v>0.00044444444444444447</v>
      </c>
      <c r="I387" s="8">
        <f t="shared" si="40"/>
        <v>0.125</v>
      </c>
      <c r="J387" s="8">
        <f t="shared" si="41"/>
        <v>0.0008650519031141869</v>
      </c>
    </row>
    <row r="388" spans="1:10" ht="11.25">
      <c r="A388" s="23" t="s">
        <v>108</v>
      </c>
      <c r="B388" s="9">
        <v>0.042</v>
      </c>
      <c r="C388" s="8">
        <v>0</v>
      </c>
      <c r="D388" s="8">
        <v>0.063</v>
      </c>
      <c r="E388" s="8">
        <v>0</v>
      </c>
      <c r="F388" s="8">
        <v>0</v>
      </c>
      <c r="G388" s="8">
        <f t="shared" si="39"/>
        <v>0.10500000000000001</v>
      </c>
      <c r="H388" s="8">
        <f t="shared" si="42"/>
        <v>0.0011111111111111111</v>
      </c>
      <c r="I388" s="8">
        <f t="shared" si="40"/>
        <v>0.10500000000000001</v>
      </c>
      <c r="J388" s="8">
        <f t="shared" si="41"/>
        <v>0.000726643598615917</v>
      </c>
    </row>
    <row r="389" spans="1:10" ht="11.25">
      <c r="A389" s="23" t="s">
        <v>16</v>
      </c>
      <c r="B389" s="9">
        <v>0.926</v>
      </c>
      <c r="C389" s="8">
        <v>0.686</v>
      </c>
      <c r="D389" s="8">
        <v>0.063</v>
      </c>
      <c r="E389" s="8">
        <v>0.167</v>
      </c>
      <c r="F389" s="8">
        <v>0.5</v>
      </c>
      <c r="G389" s="8">
        <f t="shared" si="39"/>
        <v>1.675</v>
      </c>
      <c r="H389" s="8">
        <f t="shared" si="42"/>
        <v>0.017724867724867727</v>
      </c>
      <c r="I389" s="8">
        <f t="shared" si="40"/>
        <v>2.342</v>
      </c>
      <c r="J389" s="8">
        <f t="shared" si="41"/>
        <v>0.016207612456747407</v>
      </c>
    </row>
    <row r="390" spans="1:10" ht="11.25">
      <c r="A390" s="23" t="s">
        <v>24</v>
      </c>
      <c r="B390" s="9">
        <v>30</v>
      </c>
      <c r="C390" s="8">
        <v>10.229</v>
      </c>
      <c r="D390" s="8">
        <v>16.625</v>
      </c>
      <c r="E390" s="8">
        <v>26.917</v>
      </c>
      <c r="F390" s="8">
        <v>23.875</v>
      </c>
      <c r="G390" s="8">
        <f t="shared" si="39"/>
        <v>56.854</v>
      </c>
      <c r="H390" s="8">
        <f t="shared" si="42"/>
        <v>0.6016296296296296</v>
      </c>
      <c r="I390" s="8">
        <f t="shared" si="40"/>
        <v>107.646</v>
      </c>
      <c r="J390" s="8">
        <f t="shared" si="41"/>
        <v>0.7449550173010381</v>
      </c>
    </row>
    <row r="391" spans="1:6" ht="11.25">
      <c r="A391" s="22" t="s">
        <v>19</v>
      </c>
      <c r="B391" s="30" t="s">
        <v>158</v>
      </c>
      <c r="C391" s="14" t="s">
        <v>159</v>
      </c>
      <c r="D391" s="14" t="s">
        <v>160</v>
      </c>
      <c r="E391" s="14" t="s">
        <v>123</v>
      </c>
      <c r="F391" s="14" t="s">
        <v>161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9"/>
  <sheetViews>
    <sheetView workbookViewId="0" topLeftCell="A7">
      <selection activeCell="A1" sqref="A1"/>
    </sheetView>
  </sheetViews>
  <sheetFormatPr defaultColWidth="9.140625" defaultRowHeight="12.75"/>
  <sheetData>
    <row r="1" ht="12.75">
      <c r="A1" s="37" t="s">
        <v>89</v>
      </c>
    </row>
    <row r="3" ht="12.75">
      <c r="A3" s="37" t="s">
        <v>99</v>
      </c>
    </row>
    <row r="5" ht="12.75">
      <c r="A5" s="1" t="s">
        <v>104</v>
      </c>
    </row>
    <row r="6" ht="12.75">
      <c r="A6" s="1" t="s">
        <v>105</v>
      </c>
    </row>
    <row r="7" ht="12.75">
      <c r="A7" s="1" t="s">
        <v>106</v>
      </c>
    </row>
    <row r="8" ht="12.75">
      <c r="A8" s="1"/>
    </row>
    <row r="9" ht="12.75">
      <c r="A9" s="37" t="s">
        <v>90</v>
      </c>
    </row>
    <row r="10" ht="12.75">
      <c r="A10" s="1"/>
    </row>
    <row r="11" ht="12.75">
      <c r="A11" s="36" t="s">
        <v>127</v>
      </c>
    </row>
    <row r="12" ht="12.75">
      <c r="A12" s="1" t="s">
        <v>98</v>
      </c>
    </row>
    <row r="13" ht="12.75">
      <c r="A13" s="1" t="s">
        <v>97</v>
      </c>
    </row>
    <row r="14" ht="12.75">
      <c r="A14" s="1"/>
    </row>
    <row r="15" ht="12.75">
      <c r="A15" s="38" t="s">
        <v>135</v>
      </c>
    </row>
    <row r="16" ht="12.75">
      <c r="A16" s="1"/>
    </row>
    <row r="17" ht="12.75">
      <c r="A17" s="38" t="s">
        <v>134</v>
      </c>
    </row>
    <row r="18" ht="12.75">
      <c r="A18" s="1" t="s">
        <v>94</v>
      </c>
    </row>
    <row r="20" ht="12.75">
      <c r="A20" s="38" t="s">
        <v>133</v>
      </c>
    </row>
    <row r="21" ht="12.75">
      <c r="A21" s="1" t="s">
        <v>101</v>
      </c>
    </row>
    <row r="22" ht="12.75">
      <c r="A22" s="1" t="s">
        <v>100</v>
      </c>
    </row>
    <row r="24" ht="12.75">
      <c r="A24" s="38" t="s">
        <v>132</v>
      </c>
    </row>
    <row r="25" ht="12.75">
      <c r="A25" s="1" t="s">
        <v>91</v>
      </c>
    </row>
    <row r="27" ht="12.75">
      <c r="A27" s="38" t="s">
        <v>131</v>
      </c>
    </row>
    <row r="28" ht="12.75">
      <c r="A28" s="1" t="s">
        <v>95</v>
      </c>
    </row>
    <row r="29" ht="12.75">
      <c r="A29" s="1" t="s">
        <v>96</v>
      </c>
    </row>
    <row r="30" ht="12.75">
      <c r="A30" s="1"/>
    </row>
    <row r="31" ht="12.75">
      <c r="A31" s="38" t="s">
        <v>130</v>
      </c>
    </row>
    <row r="32" ht="12.75">
      <c r="A32" s="1" t="s">
        <v>92</v>
      </c>
    </row>
    <row r="34" ht="12.75">
      <c r="A34" s="38" t="s">
        <v>129</v>
      </c>
    </row>
    <row r="35" ht="12.75">
      <c r="A35" s="1" t="s">
        <v>102</v>
      </c>
    </row>
    <row r="36" ht="12.75">
      <c r="A36" s="1" t="s">
        <v>93</v>
      </c>
    </row>
    <row r="38" ht="12.75">
      <c r="A38" s="38" t="s">
        <v>128</v>
      </c>
    </row>
    <row r="39" ht="12.75">
      <c r="A39" s="1" t="s">
        <v>103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61"/>
  <sheetViews>
    <sheetView workbookViewId="0" topLeftCell="A1">
      <selection activeCell="I271" sqref="I271"/>
    </sheetView>
  </sheetViews>
  <sheetFormatPr defaultColWidth="9.140625" defaultRowHeight="12.75"/>
  <cols>
    <col min="1" max="16384" width="5.7109375" style="11" customWidth="1"/>
  </cols>
  <sheetData>
    <row r="1" ht="11.25">
      <c r="A1" s="39" t="s">
        <v>136</v>
      </c>
    </row>
    <row r="2" ht="11.25">
      <c r="A2" s="39"/>
    </row>
    <row r="3" spans="1:21" s="6" customFormat="1" ht="11.25">
      <c r="A3" s="40"/>
      <c r="C3" s="6">
        <v>1990</v>
      </c>
      <c r="D3" s="6">
        <v>1991</v>
      </c>
      <c r="E3" s="6">
        <v>1992</v>
      </c>
      <c r="F3" s="6">
        <v>1993</v>
      </c>
      <c r="G3" s="6">
        <v>1994</v>
      </c>
      <c r="H3" s="6">
        <v>1995</v>
      </c>
      <c r="I3" s="6">
        <v>1996</v>
      </c>
      <c r="J3" s="6">
        <v>1997</v>
      </c>
      <c r="K3" s="6">
        <v>1998</v>
      </c>
      <c r="L3" s="6">
        <v>1999</v>
      </c>
      <c r="M3" s="6">
        <v>2000</v>
      </c>
      <c r="N3" s="6">
        <v>2001</v>
      </c>
      <c r="O3" s="6">
        <v>2002</v>
      </c>
      <c r="P3" s="6">
        <v>2003</v>
      </c>
      <c r="Q3" s="6">
        <v>2004</v>
      </c>
      <c r="R3" s="6">
        <v>2005</v>
      </c>
      <c r="S3" s="6">
        <v>2006</v>
      </c>
      <c r="T3" s="7">
        <v>2007</v>
      </c>
      <c r="U3" s="7">
        <v>2008</v>
      </c>
    </row>
    <row r="4" spans="1:21" s="8" customFormat="1" ht="11.25">
      <c r="A4" s="8" t="s">
        <v>50</v>
      </c>
      <c r="C4" s="8">
        <v>0.035</v>
      </c>
      <c r="D4" s="8">
        <v>0.092</v>
      </c>
      <c r="E4" s="8">
        <v>0.07</v>
      </c>
      <c r="F4" s="8">
        <v>0.171</v>
      </c>
      <c r="G4" s="8">
        <v>0.1</v>
      </c>
      <c r="H4" s="8">
        <v>0.079</v>
      </c>
      <c r="I4" s="8">
        <v>0.048</v>
      </c>
      <c r="J4" s="8">
        <v>0.041</v>
      </c>
      <c r="K4" s="8">
        <v>0.046</v>
      </c>
      <c r="L4" s="8">
        <v>0.044</v>
      </c>
      <c r="M4" s="8">
        <v>0.034</v>
      </c>
      <c r="N4" s="8">
        <v>0.055</v>
      </c>
      <c r="O4" s="8">
        <v>0.061</v>
      </c>
      <c r="P4" s="8">
        <v>0.07</v>
      </c>
      <c r="Q4" s="8">
        <v>0.088</v>
      </c>
      <c r="R4" s="8">
        <v>0.056</v>
      </c>
      <c r="S4" s="8">
        <v>0.073</v>
      </c>
      <c r="T4" s="9">
        <v>0.058</v>
      </c>
      <c r="U4" s="9">
        <v>0.026</v>
      </c>
    </row>
    <row r="21" spans="3:21" s="6" customFormat="1" ht="11.25">
      <c r="C21" s="6">
        <v>1990</v>
      </c>
      <c r="D21" s="6">
        <v>1991</v>
      </c>
      <c r="E21" s="6">
        <v>1992</v>
      </c>
      <c r="F21" s="6">
        <v>1993</v>
      </c>
      <c r="G21" s="6">
        <v>1994</v>
      </c>
      <c r="H21" s="6">
        <v>1995</v>
      </c>
      <c r="I21" s="6">
        <v>1996</v>
      </c>
      <c r="J21" s="6">
        <v>1997</v>
      </c>
      <c r="K21" s="6">
        <v>1998</v>
      </c>
      <c r="L21" s="6">
        <v>1999</v>
      </c>
      <c r="M21" s="6">
        <v>2000</v>
      </c>
      <c r="N21" s="6">
        <v>2001</v>
      </c>
      <c r="O21" s="6">
        <v>2002</v>
      </c>
      <c r="P21" s="6">
        <v>2003</v>
      </c>
      <c r="Q21" s="6">
        <v>2004</v>
      </c>
      <c r="R21" s="6">
        <v>2005</v>
      </c>
      <c r="S21" s="6">
        <v>2006</v>
      </c>
      <c r="T21" s="7">
        <v>2007</v>
      </c>
      <c r="U21" s="7">
        <v>2008</v>
      </c>
    </row>
    <row r="22" spans="1:21" s="8" customFormat="1" ht="11.25">
      <c r="A22" s="8" t="s">
        <v>51</v>
      </c>
      <c r="C22" s="8">
        <v>0.007</v>
      </c>
      <c r="D22" s="8">
        <v>0.021</v>
      </c>
      <c r="E22" s="8">
        <v>0.018</v>
      </c>
      <c r="F22" s="8">
        <v>0</v>
      </c>
      <c r="G22" s="8">
        <v>0.009</v>
      </c>
      <c r="H22" s="8">
        <v>0.008</v>
      </c>
      <c r="I22" s="8">
        <v>0.024</v>
      </c>
      <c r="J22" s="8">
        <v>0.029</v>
      </c>
      <c r="K22" s="8">
        <v>0.015</v>
      </c>
      <c r="L22" s="8">
        <v>0.04</v>
      </c>
      <c r="M22" s="8">
        <v>0.018</v>
      </c>
      <c r="N22" s="8">
        <v>0.032</v>
      </c>
      <c r="O22" s="8">
        <v>0.034</v>
      </c>
      <c r="P22" s="8">
        <v>0.011</v>
      </c>
      <c r="Q22" s="8">
        <v>0.03</v>
      </c>
      <c r="R22" s="8">
        <v>0.033</v>
      </c>
      <c r="S22" s="8">
        <v>0.052</v>
      </c>
      <c r="T22" s="9">
        <v>0.016</v>
      </c>
      <c r="U22" s="9">
        <v>0.019</v>
      </c>
    </row>
    <row r="24" spans="3:21" s="6" customFormat="1" ht="11.25">
      <c r="C24" s="6">
        <v>1990</v>
      </c>
      <c r="D24" s="6">
        <v>1991</v>
      </c>
      <c r="E24" s="6">
        <v>1992</v>
      </c>
      <c r="F24" s="6">
        <v>1993</v>
      </c>
      <c r="G24" s="6">
        <v>1994</v>
      </c>
      <c r="H24" s="6">
        <v>1995</v>
      </c>
      <c r="I24" s="6">
        <v>1996</v>
      </c>
      <c r="J24" s="6">
        <v>1997</v>
      </c>
      <c r="K24" s="6">
        <v>1998</v>
      </c>
      <c r="L24" s="6">
        <v>1999</v>
      </c>
      <c r="M24" s="6">
        <v>2000</v>
      </c>
      <c r="N24" s="6">
        <v>2001</v>
      </c>
      <c r="O24" s="6">
        <v>2002</v>
      </c>
      <c r="P24" s="6">
        <v>2003</v>
      </c>
      <c r="Q24" s="6">
        <v>2004</v>
      </c>
      <c r="R24" s="6">
        <v>2005</v>
      </c>
      <c r="S24" s="6">
        <v>2006</v>
      </c>
      <c r="T24" s="7">
        <v>2007</v>
      </c>
      <c r="U24" s="7">
        <v>2008</v>
      </c>
    </row>
    <row r="25" spans="1:21" s="8" customFormat="1" ht="11.25">
      <c r="A25" s="10" t="s">
        <v>67</v>
      </c>
      <c r="C25" s="8">
        <v>0.114</v>
      </c>
      <c r="D25" s="8">
        <v>0.149</v>
      </c>
      <c r="E25" s="8">
        <v>0.245</v>
      </c>
      <c r="F25" s="8">
        <v>0.171</v>
      </c>
      <c r="G25" s="8">
        <v>0.162</v>
      </c>
      <c r="H25" s="8">
        <v>0.137</v>
      </c>
      <c r="I25" s="8">
        <v>0.202</v>
      </c>
      <c r="J25" s="8">
        <v>0.189</v>
      </c>
      <c r="K25" s="8">
        <v>0.227</v>
      </c>
      <c r="L25" s="8">
        <v>0.239</v>
      </c>
      <c r="M25" s="8">
        <v>0.241</v>
      </c>
      <c r="N25" s="8">
        <v>0.248</v>
      </c>
      <c r="O25" s="8">
        <v>0.284</v>
      </c>
      <c r="P25" s="8">
        <v>0.235</v>
      </c>
      <c r="Q25" s="8">
        <v>0.212</v>
      </c>
      <c r="R25" s="8">
        <v>0.255</v>
      </c>
      <c r="S25" s="8">
        <v>0.302</v>
      </c>
      <c r="T25" s="9">
        <v>0.352</v>
      </c>
      <c r="U25" s="9">
        <v>0.303</v>
      </c>
    </row>
    <row r="41" spans="3:21" s="6" customFormat="1" ht="11.25">
      <c r="C41" s="6">
        <v>1990</v>
      </c>
      <c r="D41" s="6">
        <v>1991</v>
      </c>
      <c r="E41" s="6">
        <v>1992</v>
      </c>
      <c r="F41" s="6">
        <v>1993</v>
      </c>
      <c r="G41" s="6">
        <v>1994</v>
      </c>
      <c r="H41" s="6">
        <v>1995</v>
      </c>
      <c r="I41" s="6">
        <v>1996</v>
      </c>
      <c r="J41" s="6">
        <v>1997</v>
      </c>
      <c r="K41" s="6">
        <v>1998</v>
      </c>
      <c r="L41" s="6">
        <v>1999</v>
      </c>
      <c r="M41" s="6">
        <v>2000</v>
      </c>
      <c r="N41" s="6">
        <v>2001</v>
      </c>
      <c r="O41" s="6">
        <v>2002</v>
      </c>
      <c r="P41" s="6">
        <v>2003</v>
      </c>
      <c r="Q41" s="6">
        <v>2004</v>
      </c>
      <c r="R41" s="6">
        <v>2005</v>
      </c>
      <c r="S41" s="6">
        <v>2006</v>
      </c>
      <c r="T41" s="7">
        <v>2007</v>
      </c>
      <c r="U41" s="7">
        <v>2008</v>
      </c>
    </row>
    <row r="42" spans="1:21" s="8" customFormat="1" ht="11.25">
      <c r="A42" s="8" t="s">
        <v>57</v>
      </c>
      <c r="C42" s="8">
        <v>0.171</v>
      </c>
      <c r="D42" s="8">
        <v>0.193</v>
      </c>
      <c r="E42" s="8">
        <v>0.229</v>
      </c>
      <c r="F42" s="8">
        <v>0.2</v>
      </c>
      <c r="G42" s="8">
        <v>0.161</v>
      </c>
      <c r="H42" s="8">
        <v>0.071</v>
      </c>
      <c r="I42" s="8">
        <v>0.046</v>
      </c>
      <c r="J42" s="8">
        <v>0.04</v>
      </c>
      <c r="K42" s="8">
        <v>0.04</v>
      </c>
      <c r="L42" s="8">
        <v>0.038</v>
      </c>
      <c r="M42" s="8">
        <v>0.023</v>
      </c>
      <c r="N42" s="8">
        <v>0.038</v>
      </c>
      <c r="O42" s="8">
        <v>0.041</v>
      </c>
      <c r="P42" s="8">
        <v>0.044</v>
      </c>
      <c r="Q42" s="8">
        <v>0.023</v>
      </c>
      <c r="R42" s="8">
        <v>0.027</v>
      </c>
      <c r="S42" s="8">
        <v>0.025</v>
      </c>
      <c r="T42" s="9">
        <v>0.02</v>
      </c>
      <c r="U42" s="9">
        <v>0.009</v>
      </c>
    </row>
    <row r="44" spans="3:21" s="6" customFormat="1" ht="11.25">
      <c r="C44" s="6">
        <v>1990</v>
      </c>
      <c r="D44" s="6">
        <v>1991</v>
      </c>
      <c r="E44" s="6">
        <v>1992</v>
      </c>
      <c r="F44" s="6">
        <v>1993</v>
      </c>
      <c r="G44" s="6">
        <v>1994</v>
      </c>
      <c r="H44" s="6">
        <v>1995</v>
      </c>
      <c r="I44" s="6">
        <v>1996</v>
      </c>
      <c r="J44" s="6">
        <v>1997</v>
      </c>
      <c r="K44" s="6">
        <v>1998</v>
      </c>
      <c r="L44" s="6">
        <v>1999</v>
      </c>
      <c r="M44" s="6">
        <v>2000</v>
      </c>
      <c r="N44" s="6">
        <v>2001</v>
      </c>
      <c r="O44" s="6">
        <v>2002</v>
      </c>
      <c r="P44" s="6">
        <v>2003</v>
      </c>
      <c r="Q44" s="6">
        <v>2004</v>
      </c>
      <c r="R44" s="6">
        <v>2005</v>
      </c>
      <c r="S44" s="6">
        <v>2006</v>
      </c>
      <c r="T44" s="7">
        <v>2007</v>
      </c>
      <c r="U44" s="7">
        <v>2008</v>
      </c>
    </row>
    <row r="45" spans="1:21" s="8" customFormat="1" ht="11.25">
      <c r="A45" s="8" t="s">
        <v>66</v>
      </c>
      <c r="C45" s="8">
        <v>0.07</v>
      </c>
      <c r="D45" s="8">
        <v>0.082</v>
      </c>
      <c r="E45" s="8">
        <v>0.03</v>
      </c>
      <c r="F45" s="8">
        <v>0.078</v>
      </c>
      <c r="G45" s="8">
        <v>0.038</v>
      </c>
      <c r="H45" s="8">
        <v>0.054</v>
      </c>
      <c r="I45" s="8">
        <v>0.032</v>
      </c>
      <c r="J45" s="8">
        <v>0.039</v>
      </c>
      <c r="K45" s="8">
        <v>0.023</v>
      </c>
      <c r="L45" s="8">
        <v>0.015</v>
      </c>
      <c r="M45" s="8">
        <v>0.008</v>
      </c>
      <c r="N45" s="8">
        <v>0.033</v>
      </c>
      <c r="O45" s="8">
        <v>0.042</v>
      </c>
      <c r="P45" s="8">
        <v>0.025</v>
      </c>
      <c r="Q45" s="8">
        <v>0.009</v>
      </c>
      <c r="R45" s="8">
        <v>0.006</v>
      </c>
      <c r="S45" s="8">
        <v>0.007</v>
      </c>
      <c r="T45" s="9">
        <v>0.004</v>
      </c>
      <c r="U45" s="9">
        <v>0.002</v>
      </c>
    </row>
    <row r="46" ht="14.25" customHeight="1"/>
    <row r="62" spans="3:21" s="6" customFormat="1" ht="11.25">
      <c r="C62" s="6">
        <v>1990</v>
      </c>
      <c r="D62" s="6">
        <v>1991</v>
      </c>
      <c r="E62" s="6">
        <v>1992</v>
      </c>
      <c r="F62" s="6">
        <v>1993</v>
      </c>
      <c r="G62" s="6">
        <v>1994</v>
      </c>
      <c r="H62" s="6">
        <v>1995</v>
      </c>
      <c r="I62" s="6">
        <v>1996</v>
      </c>
      <c r="J62" s="6">
        <v>1997</v>
      </c>
      <c r="K62" s="6">
        <v>1998</v>
      </c>
      <c r="L62" s="6">
        <v>1999</v>
      </c>
      <c r="M62" s="6">
        <v>2000</v>
      </c>
      <c r="N62" s="6">
        <v>2001</v>
      </c>
      <c r="O62" s="6">
        <v>2002</v>
      </c>
      <c r="P62" s="6">
        <v>2003</v>
      </c>
      <c r="Q62" s="6">
        <v>2004</v>
      </c>
      <c r="R62" s="6">
        <v>2005</v>
      </c>
      <c r="S62" s="6">
        <v>2006</v>
      </c>
      <c r="T62" s="7">
        <v>2007</v>
      </c>
      <c r="U62" s="7">
        <v>2008</v>
      </c>
    </row>
    <row r="63" spans="1:21" s="8" customFormat="1" ht="11.25">
      <c r="A63" s="8" t="s">
        <v>53</v>
      </c>
      <c r="C63" s="8">
        <v>0.027</v>
      </c>
      <c r="D63" s="8">
        <v>0.018</v>
      </c>
      <c r="E63" s="8">
        <v>0.038</v>
      </c>
      <c r="F63" s="8">
        <v>0.026</v>
      </c>
      <c r="G63" s="8">
        <v>0.063</v>
      </c>
      <c r="H63" s="8">
        <v>0.035</v>
      </c>
      <c r="I63" s="8">
        <v>0.04</v>
      </c>
      <c r="J63" s="8">
        <v>0.037</v>
      </c>
      <c r="K63" s="8">
        <v>0.029</v>
      </c>
      <c r="L63" s="8">
        <v>0.029</v>
      </c>
      <c r="M63" s="8">
        <v>0.023</v>
      </c>
      <c r="N63" s="8">
        <v>0.043</v>
      </c>
      <c r="O63" s="8">
        <v>0.056</v>
      </c>
      <c r="P63" s="8">
        <v>0.024</v>
      </c>
      <c r="Q63" s="8">
        <v>0.02</v>
      </c>
      <c r="R63" s="8">
        <v>0.018</v>
      </c>
      <c r="S63" s="8">
        <v>0.031</v>
      </c>
      <c r="T63" s="9">
        <v>0.016</v>
      </c>
      <c r="U63" s="9">
        <v>0.02</v>
      </c>
    </row>
    <row r="64" ht="11.25">
      <c r="V64" s="12"/>
    </row>
    <row r="65" spans="3:21" s="6" customFormat="1" ht="11.25">
      <c r="C65" s="6">
        <v>1990</v>
      </c>
      <c r="D65" s="6">
        <v>1991</v>
      </c>
      <c r="E65" s="6">
        <v>1992</v>
      </c>
      <c r="F65" s="6">
        <v>1993</v>
      </c>
      <c r="G65" s="6">
        <v>1994</v>
      </c>
      <c r="H65" s="6">
        <v>1995</v>
      </c>
      <c r="I65" s="6">
        <v>1996</v>
      </c>
      <c r="J65" s="6">
        <v>1997</v>
      </c>
      <c r="K65" s="6">
        <v>1998</v>
      </c>
      <c r="L65" s="6">
        <v>1999</v>
      </c>
      <c r="M65" s="6">
        <v>2000</v>
      </c>
      <c r="N65" s="6">
        <v>2001</v>
      </c>
      <c r="O65" s="6">
        <v>2002</v>
      </c>
      <c r="P65" s="6">
        <v>2003</v>
      </c>
      <c r="Q65" s="6">
        <v>2004</v>
      </c>
      <c r="R65" s="6">
        <v>2005</v>
      </c>
      <c r="S65" s="6">
        <v>2006</v>
      </c>
      <c r="T65" s="7">
        <v>2007</v>
      </c>
      <c r="U65" s="7">
        <v>2008</v>
      </c>
    </row>
    <row r="66" spans="1:21" s="8" customFormat="1" ht="11.25">
      <c r="A66" s="8" t="s">
        <v>55</v>
      </c>
      <c r="C66" s="8">
        <v>0.049</v>
      </c>
      <c r="D66" s="8">
        <v>0.097</v>
      </c>
      <c r="E66" s="8">
        <v>0.099</v>
      </c>
      <c r="F66" s="8">
        <v>0.065</v>
      </c>
      <c r="G66" s="8">
        <v>0.093</v>
      </c>
      <c r="H66" s="8">
        <v>0.117</v>
      </c>
      <c r="I66" s="8">
        <v>0.105</v>
      </c>
      <c r="J66" s="8">
        <v>0.11</v>
      </c>
      <c r="K66" s="8">
        <v>0.167</v>
      </c>
      <c r="L66" s="8">
        <v>0.179</v>
      </c>
      <c r="M66" s="8">
        <v>0.183</v>
      </c>
      <c r="N66" s="8">
        <v>0.236</v>
      </c>
      <c r="O66" s="8">
        <v>0.211</v>
      </c>
      <c r="P66" s="8">
        <v>0.139</v>
      </c>
      <c r="Q66" s="8">
        <v>0.124</v>
      </c>
      <c r="R66" s="8">
        <v>0.188</v>
      </c>
      <c r="S66" s="8">
        <v>0.231</v>
      </c>
      <c r="T66" s="9">
        <v>0.214</v>
      </c>
      <c r="U66" s="9">
        <v>0.154</v>
      </c>
    </row>
    <row r="83" spans="3:21" s="6" customFormat="1" ht="11.25">
      <c r="C83" s="6">
        <v>1990</v>
      </c>
      <c r="D83" s="6">
        <v>1991</v>
      </c>
      <c r="E83" s="6">
        <v>1992</v>
      </c>
      <c r="F83" s="6">
        <v>1993</v>
      </c>
      <c r="G83" s="6">
        <v>1994</v>
      </c>
      <c r="H83" s="6">
        <v>1995</v>
      </c>
      <c r="I83" s="6">
        <v>1996</v>
      </c>
      <c r="J83" s="6">
        <v>1997</v>
      </c>
      <c r="K83" s="6">
        <v>1998</v>
      </c>
      <c r="L83" s="6">
        <v>1999</v>
      </c>
      <c r="M83" s="6">
        <v>2000</v>
      </c>
      <c r="N83" s="6">
        <v>2001</v>
      </c>
      <c r="O83" s="6">
        <v>2002</v>
      </c>
      <c r="P83" s="6">
        <v>2003</v>
      </c>
      <c r="Q83" s="6">
        <v>2004</v>
      </c>
      <c r="R83" s="6">
        <v>2005</v>
      </c>
      <c r="S83" s="6">
        <v>2006</v>
      </c>
      <c r="T83" s="7">
        <v>2007</v>
      </c>
      <c r="U83" s="7">
        <v>2008</v>
      </c>
    </row>
    <row r="84" spans="1:21" s="8" customFormat="1" ht="11.25">
      <c r="A84" s="8" t="s">
        <v>54</v>
      </c>
      <c r="C84" s="8">
        <v>0.005</v>
      </c>
      <c r="D84" s="8">
        <v>0.01</v>
      </c>
      <c r="E84" s="8">
        <v>0.01</v>
      </c>
      <c r="F84" s="8">
        <v>0</v>
      </c>
      <c r="G84" s="8">
        <v>0.005</v>
      </c>
      <c r="H84" s="8">
        <v>0.008</v>
      </c>
      <c r="I84" s="8">
        <v>0.015</v>
      </c>
      <c r="J84" s="8">
        <v>0.001</v>
      </c>
      <c r="K84" s="8">
        <v>0.007</v>
      </c>
      <c r="L84" s="8">
        <v>0.006</v>
      </c>
      <c r="M84" s="8">
        <v>0.006</v>
      </c>
      <c r="N84" s="8">
        <v>0.014</v>
      </c>
      <c r="O84" s="8">
        <v>0.008</v>
      </c>
      <c r="P84" s="8">
        <v>0.005</v>
      </c>
      <c r="Q84" s="8">
        <v>0.017</v>
      </c>
      <c r="R84" s="8">
        <v>0.004</v>
      </c>
      <c r="S84" s="8">
        <v>0.008</v>
      </c>
      <c r="T84" s="9">
        <v>0.007</v>
      </c>
      <c r="U84" s="9">
        <v>0.005</v>
      </c>
    </row>
    <row r="86" spans="3:21" s="6" customFormat="1" ht="11.25">
      <c r="C86" s="6">
        <v>1990</v>
      </c>
      <c r="D86" s="6">
        <v>1991</v>
      </c>
      <c r="E86" s="6">
        <v>1992</v>
      </c>
      <c r="F86" s="6">
        <v>1993</v>
      </c>
      <c r="G86" s="6">
        <v>1994</v>
      </c>
      <c r="H86" s="6">
        <v>1995</v>
      </c>
      <c r="I86" s="6">
        <v>1996</v>
      </c>
      <c r="J86" s="6">
        <v>1997</v>
      </c>
      <c r="K86" s="6">
        <v>1998</v>
      </c>
      <c r="L86" s="6">
        <v>1999</v>
      </c>
      <c r="M86" s="6">
        <v>2000</v>
      </c>
      <c r="N86" s="6">
        <v>2001</v>
      </c>
      <c r="O86" s="6">
        <v>2002</v>
      </c>
      <c r="P86" s="6">
        <v>2003</v>
      </c>
      <c r="Q86" s="6">
        <v>2004</v>
      </c>
      <c r="R86" s="6">
        <v>2005</v>
      </c>
      <c r="S86" s="6">
        <v>2006</v>
      </c>
      <c r="T86" s="7">
        <v>2007</v>
      </c>
      <c r="U86" s="7">
        <v>2008</v>
      </c>
    </row>
    <row r="87" spans="1:21" s="8" customFormat="1" ht="11.25">
      <c r="A87" s="10" t="s">
        <v>126</v>
      </c>
      <c r="C87" s="8">
        <v>0.531</v>
      </c>
      <c r="D87" s="8">
        <v>0.702</v>
      </c>
      <c r="E87" s="8">
        <v>0.78</v>
      </c>
      <c r="F87" s="8">
        <v>0.764</v>
      </c>
      <c r="G87" s="8">
        <v>0.672</v>
      </c>
      <c r="H87" s="8">
        <v>0.55</v>
      </c>
      <c r="I87" s="8">
        <v>0.546</v>
      </c>
      <c r="J87" s="8">
        <v>0.647</v>
      </c>
      <c r="K87" s="8">
        <v>0.588</v>
      </c>
      <c r="L87" s="8">
        <v>0.629</v>
      </c>
      <c r="M87" s="8">
        <v>0.573</v>
      </c>
      <c r="N87" s="8">
        <v>0.744</v>
      </c>
      <c r="O87" s="8">
        <v>0.799</v>
      </c>
      <c r="P87" s="8">
        <v>0.601</v>
      </c>
      <c r="Q87" s="8">
        <v>0.571</v>
      </c>
      <c r="R87" s="8">
        <v>0.628</v>
      </c>
      <c r="S87" s="8">
        <v>0.772</v>
      </c>
      <c r="T87" s="9">
        <v>0.727</v>
      </c>
      <c r="U87" s="9">
        <v>0.576</v>
      </c>
    </row>
    <row r="103" spans="3:21" s="6" customFormat="1" ht="11.25">
      <c r="C103" s="6">
        <v>1990</v>
      </c>
      <c r="D103" s="6">
        <v>1991</v>
      </c>
      <c r="E103" s="6">
        <v>1992</v>
      </c>
      <c r="F103" s="6">
        <v>1993</v>
      </c>
      <c r="G103" s="6">
        <v>1994</v>
      </c>
      <c r="H103" s="6">
        <v>1995</v>
      </c>
      <c r="I103" s="6">
        <v>1996</v>
      </c>
      <c r="J103" s="6">
        <v>1997</v>
      </c>
      <c r="K103" s="6">
        <v>1998</v>
      </c>
      <c r="L103" s="6">
        <v>1999</v>
      </c>
      <c r="M103" s="6">
        <v>2000</v>
      </c>
      <c r="N103" s="6">
        <v>2001</v>
      </c>
      <c r="O103" s="6">
        <v>2002</v>
      </c>
      <c r="P103" s="6">
        <v>2003</v>
      </c>
      <c r="Q103" s="6">
        <v>2004</v>
      </c>
      <c r="R103" s="6">
        <v>2005</v>
      </c>
      <c r="S103" s="6">
        <v>2006</v>
      </c>
      <c r="T103" s="7">
        <v>2007</v>
      </c>
      <c r="U103" s="7">
        <v>2008</v>
      </c>
    </row>
    <row r="104" spans="1:21" s="8" customFormat="1" ht="11.25">
      <c r="A104" s="10" t="s">
        <v>137</v>
      </c>
      <c r="C104" s="8">
        <v>0.519</v>
      </c>
      <c r="D104" s="8">
        <v>0.614</v>
      </c>
      <c r="E104" s="8">
        <v>0.74</v>
      </c>
      <c r="F104" s="8">
        <v>0.7</v>
      </c>
      <c r="G104" s="8">
        <v>0.703</v>
      </c>
      <c r="H104" s="8">
        <v>0.553</v>
      </c>
      <c r="I104" s="8">
        <v>0.625</v>
      </c>
      <c r="J104" s="8">
        <v>0.745</v>
      </c>
      <c r="K104" s="8">
        <v>0.494</v>
      </c>
      <c r="L104" s="8">
        <v>0.598</v>
      </c>
      <c r="M104" s="8">
        <v>0.505</v>
      </c>
      <c r="N104" s="8">
        <v>0.67</v>
      </c>
      <c r="O104" s="8">
        <v>0.74</v>
      </c>
      <c r="P104" s="8">
        <v>0.618</v>
      </c>
      <c r="Q104" s="8">
        <v>0.612</v>
      </c>
      <c r="R104" s="8">
        <v>0.585</v>
      </c>
      <c r="S104" s="8">
        <v>0.79</v>
      </c>
      <c r="T104" s="9">
        <v>0.692</v>
      </c>
      <c r="U104" s="9">
        <v>0.595</v>
      </c>
    </row>
    <row r="106" ht="11.25">
      <c r="A106" s="39" t="s">
        <v>138</v>
      </c>
    </row>
    <row r="108" spans="3:21" s="18" customFormat="1" ht="11.25">
      <c r="C108" s="18">
        <v>1990</v>
      </c>
      <c r="D108" s="18">
        <v>1991</v>
      </c>
      <c r="E108" s="18">
        <v>1992</v>
      </c>
      <c r="F108" s="18">
        <v>1993</v>
      </c>
      <c r="G108" s="18">
        <v>1994</v>
      </c>
      <c r="H108" s="18">
        <v>1995</v>
      </c>
      <c r="I108" s="18">
        <v>1996</v>
      </c>
      <c r="J108" s="18">
        <v>1997</v>
      </c>
      <c r="K108" s="18">
        <v>1998</v>
      </c>
      <c r="L108" s="18">
        <v>1999</v>
      </c>
      <c r="M108" s="18">
        <v>2000</v>
      </c>
      <c r="N108" s="18">
        <v>2001</v>
      </c>
      <c r="O108" s="18">
        <v>2002</v>
      </c>
      <c r="P108" s="18">
        <v>2003</v>
      </c>
      <c r="Q108" s="18">
        <v>2004</v>
      </c>
      <c r="R108" s="18">
        <v>2005</v>
      </c>
      <c r="S108" s="18">
        <v>2006</v>
      </c>
      <c r="T108" s="19">
        <v>2007</v>
      </c>
      <c r="U108" s="19">
        <v>2008</v>
      </c>
    </row>
    <row r="109" spans="1:21" s="8" customFormat="1" ht="11.25">
      <c r="A109" s="8" t="s">
        <v>50</v>
      </c>
      <c r="C109" s="8">
        <v>0.041</v>
      </c>
      <c r="D109" s="8">
        <v>0.088</v>
      </c>
      <c r="E109" s="8">
        <v>0.073</v>
      </c>
      <c r="F109" s="8">
        <v>0.132</v>
      </c>
      <c r="G109" s="8">
        <v>0.113</v>
      </c>
      <c r="H109" s="8">
        <v>0.086</v>
      </c>
      <c r="I109" s="8">
        <v>0.059</v>
      </c>
      <c r="J109" s="8">
        <v>0.054</v>
      </c>
      <c r="K109" s="8">
        <v>0.045</v>
      </c>
      <c r="L109" s="8">
        <v>0.052</v>
      </c>
      <c r="M109" s="8">
        <v>0.042</v>
      </c>
      <c r="N109" s="8">
        <v>0.061</v>
      </c>
      <c r="O109" s="8">
        <v>0.079</v>
      </c>
      <c r="P109" s="8">
        <v>0.094</v>
      </c>
      <c r="Q109" s="8">
        <v>0.118</v>
      </c>
      <c r="R109" s="8">
        <v>0.076</v>
      </c>
      <c r="S109" s="8">
        <v>0.083</v>
      </c>
      <c r="T109" s="9">
        <v>0.057</v>
      </c>
      <c r="U109" s="9">
        <v>0.028</v>
      </c>
    </row>
    <row r="125" spans="3:21" s="18" customFormat="1" ht="11.25">
      <c r="C125" s="18">
        <v>1990</v>
      </c>
      <c r="D125" s="18">
        <v>1991</v>
      </c>
      <c r="E125" s="18">
        <v>1992</v>
      </c>
      <c r="F125" s="18">
        <v>1993</v>
      </c>
      <c r="G125" s="18">
        <v>1994</v>
      </c>
      <c r="H125" s="18">
        <v>1995</v>
      </c>
      <c r="I125" s="18">
        <v>1996</v>
      </c>
      <c r="J125" s="18">
        <v>1997</v>
      </c>
      <c r="K125" s="18">
        <v>1998</v>
      </c>
      <c r="L125" s="18">
        <v>1999</v>
      </c>
      <c r="M125" s="18">
        <v>2000</v>
      </c>
      <c r="N125" s="18">
        <v>2001</v>
      </c>
      <c r="O125" s="18">
        <v>2002</v>
      </c>
      <c r="P125" s="18">
        <v>2003</v>
      </c>
      <c r="Q125" s="18">
        <v>2004</v>
      </c>
      <c r="R125" s="18">
        <v>2005</v>
      </c>
      <c r="S125" s="18">
        <v>2006</v>
      </c>
      <c r="T125" s="19">
        <v>2007</v>
      </c>
      <c r="U125" s="19">
        <v>2008</v>
      </c>
    </row>
    <row r="126" spans="1:21" s="8" customFormat="1" ht="11.25">
      <c r="A126" s="8" t="s">
        <v>51</v>
      </c>
      <c r="C126" s="8">
        <v>0.009</v>
      </c>
      <c r="D126" s="8">
        <v>0.021</v>
      </c>
      <c r="E126" s="8">
        <v>0.021</v>
      </c>
      <c r="F126" s="8">
        <v>0</v>
      </c>
      <c r="G126" s="8">
        <v>0.011</v>
      </c>
      <c r="H126" s="8">
        <v>0.012</v>
      </c>
      <c r="I126" s="8">
        <v>0.025</v>
      </c>
      <c r="J126" s="8">
        <v>0.026</v>
      </c>
      <c r="K126" s="8">
        <v>0.013</v>
      </c>
      <c r="L126" s="8">
        <v>0.044</v>
      </c>
      <c r="M126" s="8">
        <v>0.022</v>
      </c>
      <c r="N126" s="8">
        <v>0.033</v>
      </c>
      <c r="O126" s="8">
        <v>0.023</v>
      </c>
      <c r="P126" s="8">
        <v>0.014</v>
      </c>
      <c r="Q126" s="8">
        <v>0.032</v>
      </c>
      <c r="R126" s="8">
        <v>0.034</v>
      </c>
      <c r="S126" s="8">
        <v>0.059</v>
      </c>
      <c r="T126" s="9">
        <v>0.013</v>
      </c>
      <c r="U126" s="9">
        <v>0.019</v>
      </c>
    </row>
    <row r="128" spans="3:21" s="18" customFormat="1" ht="11.25">
      <c r="C128" s="18">
        <v>1990</v>
      </c>
      <c r="D128" s="18">
        <v>1991</v>
      </c>
      <c r="E128" s="18">
        <v>1992</v>
      </c>
      <c r="F128" s="18">
        <v>1993</v>
      </c>
      <c r="G128" s="18">
        <v>1994</v>
      </c>
      <c r="H128" s="18">
        <v>1995</v>
      </c>
      <c r="I128" s="18">
        <v>1996</v>
      </c>
      <c r="J128" s="18">
        <v>1997</v>
      </c>
      <c r="K128" s="18">
        <v>1998</v>
      </c>
      <c r="L128" s="18">
        <v>1999</v>
      </c>
      <c r="M128" s="18">
        <v>2000</v>
      </c>
      <c r="N128" s="18">
        <v>2001</v>
      </c>
      <c r="O128" s="18">
        <v>2002</v>
      </c>
      <c r="P128" s="18">
        <v>2003</v>
      </c>
      <c r="Q128" s="18">
        <v>2004</v>
      </c>
      <c r="R128" s="18">
        <v>2005</v>
      </c>
      <c r="S128" s="18">
        <v>2006</v>
      </c>
      <c r="T128" s="19">
        <v>2007</v>
      </c>
      <c r="U128" s="19">
        <v>2008</v>
      </c>
    </row>
    <row r="129" spans="1:21" s="8" customFormat="1" ht="11.25">
      <c r="A129" s="8" t="s">
        <v>52</v>
      </c>
      <c r="C129" s="8">
        <v>0.114</v>
      </c>
      <c r="D129" s="8">
        <v>0.135</v>
      </c>
      <c r="E129" s="8">
        <v>0.238</v>
      </c>
      <c r="F129" s="8">
        <v>0.242</v>
      </c>
      <c r="G129" s="8">
        <v>0.177</v>
      </c>
      <c r="H129" s="8">
        <v>0.141</v>
      </c>
      <c r="I129" s="8">
        <v>0.211</v>
      </c>
      <c r="J129" s="8">
        <v>0.216</v>
      </c>
      <c r="K129" s="8">
        <v>0.188</v>
      </c>
      <c r="L129" s="8">
        <v>0.213</v>
      </c>
      <c r="M129" s="8">
        <v>0.226</v>
      </c>
      <c r="N129" s="8">
        <v>0.221</v>
      </c>
      <c r="O129" s="8">
        <v>0.251</v>
      </c>
      <c r="P129" s="8">
        <v>0.239</v>
      </c>
      <c r="Q129" s="8">
        <v>0.201</v>
      </c>
      <c r="R129" s="8">
        <v>0.24</v>
      </c>
      <c r="S129" s="8">
        <v>0.314</v>
      </c>
      <c r="T129" s="9">
        <v>0.348</v>
      </c>
      <c r="U129" s="9">
        <v>0.334</v>
      </c>
    </row>
    <row r="146" spans="3:21" s="18" customFormat="1" ht="11.25">
      <c r="C146" s="18">
        <v>1990</v>
      </c>
      <c r="D146" s="18">
        <v>1991</v>
      </c>
      <c r="E146" s="18">
        <v>1992</v>
      </c>
      <c r="F146" s="18">
        <v>1993</v>
      </c>
      <c r="G146" s="18">
        <v>1994</v>
      </c>
      <c r="H146" s="18">
        <v>1995</v>
      </c>
      <c r="I146" s="18">
        <v>1996</v>
      </c>
      <c r="J146" s="18">
        <v>1997</v>
      </c>
      <c r="K146" s="18">
        <v>1998</v>
      </c>
      <c r="L146" s="18">
        <v>1999</v>
      </c>
      <c r="M146" s="18">
        <v>2000</v>
      </c>
      <c r="N146" s="18">
        <v>2001</v>
      </c>
      <c r="O146" s="18">
        <v>2002</v>
      </c>
      <c r="P146" s="18">
        <v>2003</v>
      </c>
      <c r="Q146" s="18">
        <v>2004</v>
      </c>
      <c r="R146" s="18">
        <v>2005</v>
      </c>
      <c r="S146" s="18">
        <v>2006</v>
      </c>
      <c r="T146" s="19">
        <v>2007</v>
      </c>
      <c r="U146" s="19">
        <v>2008</v>
      </c>
    </row>
    <row r="147" spans="1:21" s="8" customFormat="1" ht="11.25">
      <c r="A147" s="8" t="s">
        <v>57</v>
      </c>
      <c r="C147" s="8">
        <v>0.141</v>
      </c>
      <c r="D147" s="8">
        <v>0.13</v>
      </c>
      <c r="E147" s="8">
        <v>0.192</v>
      </c>
      <c r="F147" s="8">
        <v>0.168</v>
      </c>
      <c r="G147" s="8">
        <v>0.144</v>
      </c>
      <c r="H147" s="8">
        <v>0.068</v>
      </c>
      <c r="I147" s="8">
        <v>0.049</v>
      </c>
      <c r="J147" s="8">
        <v>0.053</v>
      </c>
      <c r="K147" s="8">
        <v>0.036</v>
      </c>
      <c r="L147" s="8">
        <v>0.028</v>
      </c>
      <c r="M147" s="8">
        <v>0.015</v>
      </c>
      <c r="N147" s="8">
        <v>0.045</v>
      </c>
      <c r="O147" s="8">
        <v>0.044</v>
      </c>
      <c r="P147" s="8">
        <v>0.057</v>
      </c>
      <c r="Q147" s="8">
        <v>0.034</v>
      </c>
      <c r="R147" s="8">
        <v>0.032</v>
      </c>
      <c r="S147" s="8">
        <v>0.031</v>
      </c>
      <c r="T147" s="9">
        <v>0.016</v>
      </c>
      <c r="U147" s="9">
        <v>0.01</v>
      </c>
    </row>
    <row r="148" spans="20:21" s="8" customFormat="1" ht="11.25">
      <c r="T148" s="9"/>
      <c r="U148" s="9"/>
    </row>
    <row r="149" spans="3:21" s="18" customFormat="1" ht="11.25">
      <c r="C149" s="18">
        <v>1990</v>
      </c>
      <c r="D149" s="18">
        <v>1991</v>
      </c>
      <c r="E149" s="18">
        <v>1992</v>
      </c>
      <c r="F149" s="18">
        <v>1993</v>
      </c>
      <c r="G149" s="18">
        <v>1994</v>
      </c>
      <c r="H149" s="18">
        <v>1995</v>
      </c>
      <c r="I149" s="18">
        <v>1996</v>
      </c>
      <c r="J149" s="18">
        <v>1997</v>
      </c>
      <c r="K149" s="18">
        <v>1998</v>
      </c>
      <c r="L149" s="18">
        <v>1999</v>
      </c>
      <c r="M149" s="18">
        <v>2000</v>
      </c>
      <c r="N149" s="18">
        <v>2001</v>
      </c>
      <c r="O149" s="18">
        <v>2002</v>
      </c>
      <c r="P149" s="18">
        <v>2003</v>
      </c>
      <c r="Q149" s="18">
        <v>2004</v>
      </c>
      <c r="R149" s="18">
        <v>2005</v>
      </c>
      <c r="S149" s="18">
        <v>2006</v>
      </c>
      <c r="T149" s="19">
        <v>2007</v>
      </c>
      <c r="U149" s="19">
        <v>2008</v>
      </c>
    </row>
    <row r="150" spans="1:21" s="8" customFormat="1" ht="11.25">
      <c r="A150" s="8" t="s">
        <v>56</v>
      </c>
      <c r="C150" s="8">
        <v>0.082</v>
      </c>
      <c r="D150" s="8">
        <v>0.086</v>
      </c>
      <c r="E150" s="8">
        <v>0.034</v>
      </c>
      <c r="F150" s="8">
        <v>0.053</v>
      </c>
      <c r="G150" s="8">
        <v>0.053</v>
      </c>
      <c r="H150" s="8">
        <v>0.067</v>
      </c>
      <c r="I150" s="8">
        <v>0.043</v>
      </c>
      <c r="J150" s="8">
        <v>0.047</v>
      </c>
      <c r="K150" s="8">
        <v>0.025</v>
      </c>
      <c r="L150" s="8">
        <v>0.022</v>
      </c>
      <c r="M150" s="8">
        <v>0.009</v>
      </c>
      <c r="N150" s="8">
        <v>0.031</v>
      </c>
      <c r="O150" s="8">
        <v>0.034</v>
      </c>
      <c r="P150" s="8">
        <v>0.027</v>
      </c>
      <c r="Q150" s="8">
        <v>0.01</v>
      </c>
      <c r="R150" s="8">
        <v>0.004</v>
      </c>
      <c r="S150" s="10">
        <v>0.007</v>
      </c>
      <c r="T150" s="9">
        <v>0.002</v>
      </c>
      <c r="U150" s="9">
        <v>0.004</v>
      </c>
    </row>
    <row r="151" spans="20:21" s="8" customFormat="1" ht="11.25">
      <c r="T151" s="9"/>
      <c r="U151" s="9"/>
    </row>
    <row r="152" spans="20:21" s="8" customFormat="1" ht="11.25">
      <c r="T152" s="9"/>
      <c r="U152" s="9"/>
    </row>
    <row r="153" spans="20:21" s="8" customFormat="1" ht="11.25">
      <c r="T153" s="9"/>
      <c r="U153" s="9"/>
    </row>
    <row r="154" spans="20:21" s="8" customFormat="1" ht="11.25">
      <c r="T154" s="9"/>
      <c r="U154" s="9"/>
    </row>
    <row r="155" spans="20:21" s="8" customFormat="1" ht="11.25">
      <c r="T155" s="9"/>
      <c r="U155" s="9"/>
    </row>
    <row r="156" spans="20:21" s="8" customFormat="1" ht="11.25">
      <c r="T156" s="9"/>
      <c r="U156" s="9"/>
    </row>
    <row r="157" spans="20:21" s="8" customFormat="1" ht="11.25">
      <c r="T157" s="9"/>
      <c r="U157" s="9"/>
    </row>
    <row r="158" spans="20:21" s="8" customFormat="1" ht="11.25">
      <c r="T158" s="9"/>
      <c r="U158" s="9"/>
    </row>
    <row r="159" spans="20:21" s="8" customFormat="1" ht="11.25">
      <c r="T159" s="9"/>
      <c r="U159" s="9"/>
    </row>
    <row r="160" spans="20:21" s="8" customFormat="1" ht="11.25">
      <c r="T160" s="9"/>
      <c r="U160" s="9"/>
    </row>
    <row r="161" spans="20:21" s="8" customFormat="1" ht="11.25">
      <c r="T161" s="9"/>
      <c r="U161" s="9"/>
    </row>
    <row r="162" spans="20:21" s="8" customFormat="1" ht="11.25">
      <c r="T162" s="9"/>
      <c r="U162" s="9"/>
    </row>
    <row r="163" spans="20:21" s="8" customFormat="1" ht="11.25">
      <c r="T163" s="9"/>
      <c r="U163" s="9"/>
    </row>
    <row r="164" spans="20:21" s="8" customFormat="1" ht="11.25">
      <c r="T164" s="9"/>
      <c r="U164" s="9"/>
    </row>
    <row r="165" spans="20:21" s="8" customFormat="1" ht="11.25">
      <c r="T165" s="9"/>
      <c r="U165" s="9"/>
    </row>
    <row r="166" spans="20:21" s="8" customFormat="1" ht="11.25">
      <c r="T166" s="9"/>
      <c r="U166" s="9"/>
    </row>
    <row r="167" spans="3:21" s="18" customFormat="1" ht="11.25">
      <c r="C167" s="18">
        <v>1990</v>
      </c>
      <c r="D167" s="18">
        <v>1991</v>
      </c>
      <c r="E167" s="18">
        <v>1992</v>
      </c>
      <c r="F167" s="18">
        <v>1993</v>
      </c>
      <c r="G167" s="18">
        <v>1994</v>
      </c>
      <c r="H167" s="18">
        <v>1995</v>
      </c>
      <c r="I167" s="18">
        <v>1996</v>
      </c>
      <c r="J167" s="18">
        <v>1997</v>
      </c>
      <c r="K167" s="18">
        <v>1998</v>
      </c>
      <c r="L167" s="18">
        <v>1999</v>
      </c>
      <c r="M167" s="18">
        <v>2000</v>
      </c>
      <c r="N167" s="18">
        <v>2001</v>
      </c>
      <c r="O167" s="18">
        <v>2002</v>
      </c>
      <c r="P167" s="18">
        <v>2003</v>
      </c>
      <c r="Q167" s="18">
        <v>2004</v>
      </c>
      <c r="R167" s="18">
        <v>2005</v>
      </c>
      <c r="S167" s="18">
        <v>2006</v>
      </c>
      <c r="T167" s="19">
        <v>2007</v>
      </c>
      <c r="U167" s="19">
        <v>2008</v>
      </c>
    </row>
    <row r="168" spans="1:21" s="8" customFormat="1" ht="11.25">
      <c r="A168" s="8" t="s">
        <v>53</v>
      </c>
      <c r="C168" s="8">
        <v>0.06</v>
      </c>
      <c r="D168" s="8">
        <v>0.017</v>
      </c>
      <c r="E168" s="8">
        <v>0.037</v>
      </c>
      <c r="F168" s="10">
        <v>0.025</v>
      </c>
      <c r="G168" s="8">
        <v>0.088</v>
      </c>
      <c r="H168" s="8">
        <v>0.047</v>
      </c>
      <c r="I168" s="8">
        <v>0.04</v>
      </c>
      <c r="J168" s="8">
        <v>0.049</v>
      </c>
      <c r="K168" s="8">
        <v>0.031</v>
      </c>
      <c r="L168" s="8">
        <v>0.04</v>
      </c>
      <c r="M168" s="8">
        <v>0.033</v>
      </c>
      <c r="N168" s="8">
        <v>0.057</v>
      </c>
      <c r="O168" s="8">
        <v>0.078</v>
      </c>
      <c r="P168" s="8">
        <v>0.036</v>
      </c>
      <c r="Q168" s="8">
        <v>0.026</v>
      </c>
      <c r="R168" s="8">
        <v>0.025</v>
      </c>
      <c r="S168" s="8">
        <v>0.044</v>
      </c>
      <c r="T168" s="9">
        <v>0.023</v>
      </c>
      <c r="U168" s="9">
        <v>0.028</v>
      </c>
    </row>
    <row r="169" spans="20:21" s="8" customFormat="1" ht="11.25">
      <c r="T169" s="9"/>
      <c r="U169" s="9"/>
    </row>
    <row r="170" spans="3:21" s="18" customFormat="1" ht="11.25">
      <c r="C170" s="18">
        <v>1990</v>
      </c>
      <c r="D170" s="18">
        <v>1991</v>
      </c>
      <c r="E170" s="18">
        <v>1992</v>
      </c>
      <c r="F170" s="18">
        <v>1993</v>
      </c>
      <c r="G170" s="18">
        <v>1994</v>
      </c>
      <c r="H170" s="18">
        <v>1995</v>
      </c>
      <c r="I170" s="18">
        <v>1996</v>
      </c>
      <c r="J170" s="18">
        <v>1997</v>
      </c>
      <c r="K170" s="18">
        <v>1998</v>
      </c>
      <c r="L170" s="18">
        <v>1999</v>
      </c>
      <c r="M170" s="18">
        <v>2000</v>
      </c>
      <c r="N170" s="18">
        <v>2001</v>
      </c>
      <c r="O170" s="18">
        <v>2002</v>
      </c>
      <c r="P170" s="18">
        <v>2003</v>
      </c>
      <c r="Q170" s="18">
        <v>2004</v>
      </c>
      <c r="R170" s="18">
        <v>2005</v>
      </c>
      <c r="S170" s="18">
        <v>2006</v>
      </c>
      <c r="T170" s="19">
        <v>2007</v>
      </c>
      <c r="U170" s="19">
        <v>2008</v>
      </c>
    </row>
    <row r="171" spans="1:21" s="8" customFormat="1" ht="11.25">
      <c r="A171" s="8" t="s">
        <v>55</v>
      </c>
      <c r="C171" s="8">
        <v>0.053</v>
      </c>
      <c r="D171" s="8">
        <v>0.091</v>
      </c>
      <c r="E171" s="8">
        <v>0.102</v>
      </c>
      <c r="F171" s="8">
        <v>0.105</v>
      </c>
      <c r="G171" s="8">
        <v>0.076</v>
      </c>
      <c r="H171" s="8">
        <v>0.088</v>
      </c>
      <c r="I171" s="8">
        <v>0.078</v>
      </c>
      <c r="J171" s="8">
        <v>0.096</v>
      </c>
      <c r="K171" s="8">
        <v>0.124</v>
      </c>
      <c r="L171" s="8">
        <v>0.153</v>
      </c>
      <c r="M171" s="8">
        <v>0.123</v>
      </c>
      <c r="N171" s="8">
        <v>0.161</v>
      </c>
      <c r="O171" s="8">
        <v>0.155</v>
      </c>
      <c r="P171" s="8">
        <v>0.09</v>
      </c>
      <c r="Q171" s="8">
        <v>0.104</v>
      </c>
      <c r="R171" s="8">
        <v>0.129</v>
      </c>
      <c r="S171" s="8">
        <v>0.192</v>
      </c>
      <c r="T171" s="9">
        <v>0.188</v>
      </c>
      <c r="U171" s="9">
        <v>0.132</v>
      </c>
    </row>
    <row r="172" spans="20:21" s="8" customFormat="1" ht="11.25">
      <c r="T172" s="9"/>
      <c r="U172" s="9"/>
    </row>
    <row r="173" spans="20:21" s="8" customFormat="1" ht="11.25">
      <c r="T173" s="9"/>
      <c r="U173" s="9"/>
    </row>
    <row r="174" spans="20:21" s="8" customFormat="1" ht="11.25">
      <c r="T174" s="9"/>
      <c r="U174" s="9"/>
    </row>
    <row r="175" spans="20:21" s="8" customFormat="1" ht="11.25">
      <c r="T175" s="9"/>
      <c r="U175" s="9"/>
    </row>
    <row r="176" spans="20:21" s="8" customFormat="1" ht="11.25">
      <c r="T176" s="9"/>
      <c r="U176" s="9"/>
    </row>
    <row r="177" spans="20:21" s="8" customFormat="1" ht="11.25">
      <c r="T177" s="9"/>
      <c r="U177" s="9"/>
    </row>
    <row r="178" spans="20:21" s="8" customFormat="1" ht="11.25">
      <c r="T178" s="9"/>
      <c r="U178" s="9"/>
    </row>
    <row r="179" spans="20:21" s="8" customFormat="1" ht="11.25">
      <c r="T179" s="9"/>
      <c r="U179" s="9"/>
    </row>
    <row r="180" spans="20:21" s="8" customFormat="1" ht="11.25">
      <c r="T180" s="9"/>
      <c r="U180" s="9"/>
    </row>
    <row r="181" spans="20:21" s="8" customFormat="1" ht="11.25">
      <c r="T181" s="9"/>
      <c r="U181" s="9"/>
    </row>
    <row r="182" spans="20:21" s="8" customFormat="1" ht="11.25">
      <c r="T182" s="9"/>
      <c r="U182" s="9"/>
    </row>
    <row r="183" spans="20:21" s="8" customFormat="1" ht="11.25">
      <c r="T183" s="9"/>
      <c r="U183" s="9"/>
    </row>
    <row r="184" spans="6:21" s="8" customFormat="1" ht="11.25">
      <c r="F184" s="10" t="s">
        <v>140</v>
      </c>
      <c r="T184" s="9"/>
      <c r="U184" s="9"/>
    </row>
    <row r="187" spans="3:21" s="18" customFormat="1" ht="11.25">
      <c r="C187" s="18">
        <v>1990</v>
      </c>
      <c r="D187" s="18">
        <v>1991</v>
      </c>
      <c r="E187" s="18">
        <v>1992</v>
      </c>
      <c r="F187" s="18">
        <v>1993</v>
      </c>
      <c r="G187" s="18">
        <v>1994</v>
      </c>
      <c r="H187" s="18">
        <v>1995</v>
      </c>
      <c r="I187" s="18">
        <v>1996</v>
      </c>
      <c r="J187" s="18">
        <v>1997</v>
      </c>
      <c r="K187" s="18">
        <v>1998</v>
      </c>
      <c r="L187" s="18">
        <v>1999</v>
      </c>
      <c r="M187" s="18">
        <v>2000</v>
      </c>
      <c r="N187" s="18">
        <v>2001</v>
      </c>
      <c r="O187" s="18">
        <v>2002</v>
      </c>
      <c r="P187" s="18">
        <v>2003</v>
      </c>
      <c r="Q187" s="18">
        <v>2004</v>
      </c>
      <c r="R187" s="18">
        <v>2005</v>
      </c>
      <c r="S187" s="18">
        <v>2006</v>
      </c>
      <c r="T187" s="19">
        <v>2007</v>
      </c>
      <c r="U187" s="19">
        <v>2008</v>
      </c>
    </row>
    <row r="188" spans="1:21" s="8" customFormat="1" ht="11.25">
      <c r="A188" s="8" t="s">
        <v>54</v>
      </c>
      <c r="C188" s="8">
        <v>0.006</v>
      </c>
      <c r="D188" s="8">
        <v>0.01</v>
      </c>
      <c r="E188" s="8">
        <v>0.005</v>
      </c>
      <c r="F188" s="8">
        <v>0</v>
      </c>
      <c r="G188" s="8">
        <v>0.005</v>
      </c>
      <c r="H188" s="8">
        <v>0.008</v>
      </c>
      <c r="I188" s="8">
        <v>0.012</v>
      </c>
      <c r="J188" s="8">
        <v>0.001</v>
      </c>
      <c r="K188" s="8">
        <v>0.006</v>
      </c>
      <c r="L188" s="8">
        <v>0.004</v>
      </c>
      <c r="M188" s="8">
        <v>0.003</v>
      </c>
      <c r="N188" s="8">
        <v>0.008</v>
      </c>
      <c r="O188" s="8">
        <v>0.007</v>
      </c>
      <c r="P188" s="8">
        <v>0.006</v>
      </c>
      <c r="Q188" s="8">
        <v>0.019</v>
      </c>
      <c r="R188" s="8">
        <v>0.003</v>
      </c>
      <c r="S188" s="8">
        <v>0.005</v>
      </c>
      <c r="T188" s="9">
        <v>0.004</v>
      </c>
      <c r="U188" s="9">
        <v>0.003</v>
      </c>
    </row>
    <row r="190" ht="11.25">
      <c r="A190" s="21" t="s">
        <v>139</v>
      </c>
    </row>
    <row r="192" spans="3:21" s="6" customFormat="1" ht="11.25">
      <c r="C192" s="6">
        <v>1990</v>
      </c>
      <c r="D192" s="6">
        <v>1991</v>
      </c>
      <c r="E192" s="6">
        <v>1992</v>
      </c>
      <c r="F192" s="6">
        <v>1993</v>
      </c>
      <c r="G192" s="6">
        <v>1994</v>
      </c>
      <c r="H192" s="6">
        <v>1995</v>
      </c>
      <c r="I192" s="6">
        <v>1996</v>
      </c>
      <c r="J192" s="6">
        <v>1997</v>
      </c>
      <c r="K192" s="6">
        <v>1998</v>
      </c>
      <c r="L192" s="6">
        <v>1999</v>
      </c>
      <c r="M192" s="6">
        <v>2000</v>
      </c>
      <c r="N192" s="6">
        <v>2001</v>
      </c>
      <c r="O192" s="6">
        <v>2002</v>
      </c>
      <c r="P192" s="6">
        <v>2003</v>
      </c>
      <c r="Q192" s="6">
        <v>2004</v>
      </c>
      <c r="R192" s="6">
        <v>2005</v>
      </c>
      <c r="S192" s="6">
        <v>2006</v>
      </c>
      <c r="T192" s="7">
        <v>2007</v>
      </c>
      <c r="U192" s="7">
        <v>2008</v>
      </c>
    </row>
    <row r="193" spans="1:21" s="8" customFormat="1" ht="11.25">
      <c r="A193" s="10" t="s">
        <v>59</v>
      </c>
      <c r="C193" s="8">
        <f>25.48/43.5</f>
        <v>0.5857471264367816</v>
      </c>
      <c r="D193" s="8">
        <f>33.1/43.5</f>
        <v>0.7609195402298851</v>
      </c>
      <c r="E193" s="8">
        <f>34.75/43.5</f>
        <v>0.7988505747126436</v>
      </c>
      <c r="G193" s="8">
        <f>29.19/43.5</f>
        <v>0.6710344827586208</v>
      </c>
      <c r="H193" s="8">
        <f>26/43.5</f>
        <v>0.5977011494252874</v>
      </c>
      <c r="I193" s="8">
        <f>27.313/43.5</f>
        <v>0.6278850574712643</v>
      </c>
      <c r="J193" s="8">
        <f>32.776/43.5</f>
        <v>0.7534712643678162</v>
      </c>
      <c r="K193" s="8">
        <f>25.5/43.5</f>
        <v>0.5862068965517241</v>
      </c>
      <c r="L193" s="8">
        <f>30.7/43.5</f>
        <v>0.7057471264367816</v>
      </c>
      <c r="M193" s="8">
        <f>28.422/43.5</f>
        <v>0.6533793103448275</v>
      </c>
      <c r="N193" s="8">
        <f>38.118/43.5</f>
        <v>0.8762758620689656</v>
      </c>
      <c r="O193" s="8">
        <f>44.497/43.5</f>
        <v>1.022919540229885</v>
      </c>
      <c r="P193" s="8">
        <f>37.196/43.5</f>
        <v>0.8550804597701149</v>
      </c>
      <c r="Q193" s="8">
        <f>37.843/43.5</f>
        <v>0.8699540229885059</v>
      </c>
      <c r="R193" s="8">
        <f>33.999/43.5</f>
        <v>0.7815862068965518</v>
      </c>
      <c r="S193" s="8">
        <f>44.17/43.5</f>
        <v>1.0154022988505746</v>
      </c>
      <c r="T193" s="9">
        <f>37.66/43.5</f>
        <v>0.8657471264367815</v>
      </c>
      <c r="U193" s="8">
        <f>29.642/43.5</f>
        <v>0.6814252873563218</v>
      </c>
    </row>
    <row r="209" spans="3:21" s="6" customFormat="1" ht="11.25">
      <c r="C209" s="6">
        <v>1990</v>
      </c>
      <c r="D209" s="6">
        <v>1991</v>
      </c>
      <c r="E209" s="6">
        <v>1992</v>
      </c>
      <c r="F209" s="6">
        <v>1993</v>
      </c>
      <c r="G209" s="6">
        <v>1994</v>
      </c>
      <c r="H209" s="6">
        <v>1995</v>
      </c>
      <c r="I209" s="6">
        <v>1996</v>
      </c>
      <c r="J209" s="6">
        <v>1997</v>
      </c>
      <c r="K209" s="6">
        <v>1998</v>
      </c>
      <c r="L209" s="6">
        <v>1999</v>
      </c>
      <c r="M209" s="6">
        <v>2000</v>
      </c>
      <c r="N209" s="6">
        <v>2001</v>
      </c>
      <c r="O209" s="6">
        <v>2002</v>
      </c>
      <c r="P209" s="6">
        <v>2003</v>
      </c>
      <c r="Q209" s="6">
        <v>2004</v>
      </c>
      <c r="R209" s="6">
        <v>2005</v>
      </c>
      <c r="S209" s="6">
        <v>2006</v>
      </c>
      <c r="T209" s="7">
        <v>2007</v>
      </c>
      <c r="U209" s="7">
        <v>2008</v>
      </c>
    </row>
    <row r="210" spans="3:21" s="8" customFormat="1" ht="11.25">
      <c r="C210" s="8">
        <f>6/19</f>
        <v>0.3157894736842105</v>
      </c>
      <c r="D210" s="8">
        <f>7.43/19</f>
        <v>0.3910526315789474</v>
      </c>
      <c r="E210" s="8">
        <f>13.55/19</f>
        <v>0.7131578947368421</v>
      </c>
      <c r="F210" s="8">
        <f>13.5/19</f>
        <v>0.7105263157894737</v>
      </c>
      <c r="G210" s="8">
        <f>13.62/19</f>
        <v>0.7168421052631578</v>
      </c>
      <c r="H210" s="8">
        <f>13.688/19</f>
        <v>0.720421052631579</v>
      </c>
      <c r="I210" s="8">
        <f>18.125/19</f>
        <v>0.9539473684210527</v>
      </c>
      <c r="J210" s="8">
        <f>16.857/19</f>
        <v>0.8872105263157894</v>
      </c>
      <c r="K210" s="8">
        <f>12.327/19</f>
        <v>0.6487894736842105</v>
      </c>
      <c r="L210" s="8">
        <f>12.219/19</f>
        <v>0.6431052631578947</v>
      </c>
      <c r="M210" s="8">
        <f>13.818/19</f>
        <v>0.7272631578947368</v>
      </c>
      <c r="N210" s="8">
        <f>14.333/19</f>
        <v>0.7543684210526316</v>
      </c>
      <c r="O210" s="8">
        <f>11.909/19</f>
        <v>0.6267894736842106</v>
      </c>
      <c r="P210" s="8">
        <f>14.333/19</f>
        <v>0.7543684210526316</v>
      </c>
      <c r="Q210" s="8">
        <f>11.35/19</f>
        <v>0.5973684210526315</v>
      </c>
      <c r="R210" s="8">
        <f>12.786/43.5</f>
        <v>0.2939310344827586</v>
      </c>
      <c r="S210" s="8">
        <f>20.08/19</f>
        <v>1.0568421052631578</v>
      </c>
      <c r="T210" s="8">
        <f>12.824/19</f>
        <v>0.6749473684210526</v>
      </c>
      <c r="U210" s="8">
        <f>12.647/19</f>
        <v>0.6656315789473685</v>
      </c>
    </row>
    <row r="211" s="8" customFormat="1" ht="11.25"/>
    <row r="212" spans="3:21" s="6" customFormat="1" ht="11.25">
      <c r="C212" s="6">
        <v>1990</v>
      </c>
      <c r="D212" s="6">
        <v>1991</v>
      </c>
      <c r="E212" s="6">
        <v>1992</v>
      </c>
      <c r="F212" s="6">
        <v>1993</v>
      </c>
      <c r="G212" s="6">
        <v>1994</v>
      </c>
      <c r="H212" s="6">
        <v>1995</v>
      </c>
      <c r="I212" s="6">
        <v>1996</v>
      </c>
      <c r="J212" s="6">
        <v>1997</v>
      </c>
      <c r="K212" s="6">
        <v>1998</v>
      </c>
      <c r="L212" s="6">
        <v>1999</v>
      </c>
      <c r="M212" s="6">
        <v>2000</v>
      </c>
      <c r="N212" s="6">
        <v>2001</v>
      </c>
      <c r="O212" s="6">
        <v>2002</v>
      </c>
      <c r="P212" s="6">
        <v>2003</v>
      </c>
      <c r="Q212" s="6">
        <v>2004</v>
      </c>
      <c r="R212" s="6">
        <v>2005</v>
      </c>
      <c r="S212" s="6">
        <v>2006</v>
      </c>
      <c r="T212" s="7">
        <v>2007</v>
      </c>
      <c r="U212" s="7">
        <v>2008</v>
      </c>
    </row>
    <row r="213" spans="1:21" s="8" customFormat="1" ht="11.25">
      <c r="A213" s="10" t="s">
        <v>61</v>
      </c>
      <c r="C213" s="8">
        <f>16.56/32</f>
        <v>0.5175</v>
      </c>
      <c r="D213" s="8">
        <f>17.5/36</f>
        <v>0.4861111111111111</v>
      </c>
      <c r="E213" s="8">
        <f>21.39/32</f>
        <v>0.6684375</v>
      </c>
      <c r="G213" s="8">
        <f>22.64/32</f>
        <v>0.7075</v>
      </c>
      <c r="H213" s="8">
        <f>12.6/32</f>
        <v>0.39375</v>
      </c>
      <c r="I213" s="8">
        <f>7.4/32</f>
        <v>0.23125</v>
      </c>
      <c r="J213" s="8">
        <f>6.66/32</f>
        <v>0.208125</v>
      </c>
      <c r="K213" s="8">
        <f>8.827/32</f>
        <v>0.27584375</v>
      </c>
      <c r="L213" s="8">
        <f>11.455/32</f>
        <v>0.35796875</v>
      </c>
      <c r="M213" s="8">
        <f>8.111/32</f>
        <v>0.25346875</v>
      </c>
      <c r="N213" s="8">
        <f>11.333/32</f>
        <v>0.35415625</v>
      </c>
      <c r="O213" s="8">
        <f>13.914/32</f>
        <v>0.4348125</v>
      </c>
      <c r="P213" s="8">
        <f>6.913/32</f>
        <v>0.21603125</v>
      </c>
      <c r="Q213" s="8">
        <f>7.8/32</f>
        <v>0.24375</v>
      </c>
      <c r="R213" s="8">
        <f>8.462/32</f>
        <v>0.2644375</v>
      </c>
      <c r="S213" s="8">
        <f>10.4/32</f>
        <v>0.325</v>
      </c>
      <c r="T213" s="8">
        <f>14.909/32</f>
        <v>0.46590625</v>
      </c>
      <c r="U213" s="8">
        <f>13.904/32</f>
        <v>0.4345</v>
      </c>
    </row>
    <row r="230" spans="3:17" s="6" customFormat="1" ht="11.25">
      <c r="C230" s="6">
        <v>1994</v>
      </c>
      <c r="D230" s="6">
        <v>1995</v>
      </c>
      <c r="E230" s="6">
        <v>1996</v>
      </c>
      <c r="F230" s="6">
        <v>1997</v>
      </c>
      <c r="G230" s="6">
        <v>1998</v>
      </c>
      <c r="H230" s="6">
        <v>1999</v>
      </c>
      <c r="I230" s="6">
        <v>2000</v>
      </c>
      <c r="J230" s="6">
        <v>2001</v>
      </c>
      <c r="K230" s="6">
        <v>2002</v>
      </c>
      <c r="L230" s="6">
        <v>2003</v>
      </c>
      <c r="M230" s="6">
        <v>2004</v>
      </c>
      <c r="N230" s="6">
        <v>2005</v>
      </c>
      <c r="O230" s="6">
        <v>2006</v>
      </c>
      <c r="P230" s="7">
        <v>2007</v>
      </c>
      <c r="Q230" s="7">
        <v>2008</v>
      </c>
    </row>
    <row r="231" spans="1:17" s="8" customFormat="1" ht="11.25">
      <c r="A231" s="10" t="s">
        <v>63</v>
      </c>
      <c r="C231" s="8">
        <f>8.88/30</f>
        <v>0.29600000000000004</v>
      </c>
      <c r="D231" s="8">
        <f>19/30</f>
        <v>0.6333333333333333</v>
      </c>
      <c r="E231" s="8">
        <f>17.75/30</f>
        <v>0.5916666666666667</v>
      </c>
      <c r="F231" s="8">
        <f>10.2/30</f>
        <v>0.33999999999999997</v>
      </c>
      <c r="G231" s="8">
        <f>26.53/30</f>
        <v>0.8843333333333334</v>
      </c>
      <c r="H231" s="8">
        <f>23/30</f>
        <v>0.7666666666666667</v>
      </c>
      <c r="I231" s="8">
        <f>21.8/30</f>
        <v>0.7266666666666667</v>
      </c>
      <c r="J231" s="8">
        <f>30.143/30</f>
        <v>1.0047666666666666</v>
      </c>
      <c r="K231" s="8">
        <f>23.933/30</f>
        <v>0.7977666666666666</v>
      </c>
      <c r="L231" s="8">
        <f>18/30</f>
        <v>0.6</v>
      </c>
      <c r="M231" s="8">
        <f>17.737/30</f>
        <v>0.5912333333333333</v>
      </c>
      <c r="N231" s="8">
        <f>21.111/30</f>
        <v>0.7037</v>
      </c>
      <c r="O231" s="8">
        <f>21.62/30</f>
        <v>0.7206666666666667</v>
      </c>
      <c r="P231" s="8">
        <f>19.5/30</f>
        <v>0.65</v>
      </c>
      <c r="Q231" s="8">
        <f>14.616/30</f>
        <v>0.48719999999999997</v>
      </c>
    </row>
    <row r="233" spans="3:12" ht="11.25">
      <c r="C233" s="12">
        <v>1999</v>
      </c>
      <c r="D233" s="12">
        <v>2000</v>
      </c>
      <c r="E233" s="12">
        <v>2001</v>
      </c>
      <c r="F233" s="12">
        <v>2002</v>
      </c>
      <c r="G233" s="12">
        <v>2003</v>
      </c>
      <c r="H233" s="12">
        <v>2004</v>
      </c>
      <c r="I233" s="12">
        <v>2005</v>
      </c>
      <c r="J233" s="12">
        <v>2006</v>
      </c>
      <c r="K233" s="12">
        <v>2007</v>
      </c>
      <c r="L233" s="12">
        <v>2008</v>
      </c>
    </row>
    <row r="234" spans="1:12" s="8" customFormat="1" ht="11.25">
      <c r="A234" s="10" t="s">
        <v>64</v>
      </c>
      <c r="C234" s="8">
        <f>11.429/20</f>
        <v>0.57145</v>
      </c>
      <c r="D234" s="8">
        <f>12.6/20</f>
        <v>0.63</v>
      </c>
      <c r="E234" s="8">
        <f>14.5/20</f>
        <v>0.725</v>
      </c>
      <c r="F234" s="8">
        <f>21.65/20</f>
        <v>1.0825</v>
      </c>
      <c r="G234" s="8">
        <f>10.667/20</f>
        <v>0.53335</v>
      </c>
      <c r="H234" s="8">
        <f>8.105/20</f>
        <v>0.40525</v>
      </c>
      <c r="I234" s="8">
        <f>14.637/20</f>
        <v>0.73185</v>
      </c>
      <c r="J234" s="8">
        <f>15.3/20</f>
        <v>0.765</v>
      </c>
      <c r="K234" s="8">
        <f>20.172/20</f>
        <v>1.0086</v>
      </c>
      <c r="L234" s="8">
        <f>12.464/20</f>
        <v>0.6232</v>
      </c>
    </row>
    <row r="236" ht="12" thickBot="1"/>
    <row r="237" spans="20:22" ht="11.25">
      <c r="T237" s="46"/>
      <c r="U237" s="46" t="s">
        <v>141</v>
      </c>
      <c r="V237" s="46" t="s">
        <v>142</v>
      </c>
    </row>
    <row r="238" spans="20:22" ht="11.25">
      <c r="T238" s="47" t="s">
        <v>141</v>
      </c>
      <c r="U238" s="47">
        <v>1</v>
      </c>
      <c r="V238" s="47"/>
    </row>
    <row r="239" spans="20:22" ht="12" thickBot="1">
      <c r="T239" s="48" t="s">
        <v>142</v>
      </c>
      <c r="U239" s="48">
        <v>0.44689248413150257</v>
      </c>
      <c r="V239" s="48">
        <v>1</v>
      </c>
    </row>
    <row r="251" spans="1:21" s="8" customFormat="1" ht="11.25">
      <c r="A251" s="8" t="s">
        <v>57</v>
      </c>
      <c r="C251" s="8">
        <v>0.141</v>
      </c>
      <c r="D251" s="8">
        <v>0.13</v>
      </c>
      <c r="E251" s="8">
        <v>0.192</v>
      </c>
      <c r="F251" s="8">
        <v>0.168</v>
      </c>
      <c r="G251" s="8">
        <v>0.144</v>
      </c>
      <c r="H251" s="8">
        <v>0.068</v>
      </c>
      <c r="I251" s="8">
        <v>0.049</v>
      </c>
      <c r="J251" s="8">
        <v>0.053</v>
      </c>
      <c r="K251" s="8">
        <v>0.036</v>
      </c>
      <c r="L251" s="8">
        <v>0.028</v>
      </c>
      <c r="M251" s="8">
        <v>0.015</v>
      </c>
      <c r="N251" s="8">
        <v>0.045</v>
      </c>
      <c r="O251" s="8">
        <v>0.044</v>
      </c>
      <c r="P251" s="8">
        <v>0.057</v>
      </c>
      <c r="Q251" s="8">
        <v>0.034</v>
      </c>
      <c r="R251" s="8">
        <v>0.032</v>
      </c>
      <c r="S251" s="8">
        <v>0.031</v>
      </c>
      <c r="T251" s="9">
        <v>0.016</v>
      </c>
      <c r="U251" s="9">
        <v>0.01</v>
      </c>
    </row>
    <row r="252" spans="1:21" s="8" customFormat="1" ht="11.25">
      <c r="A252" s="8" t="s">
        <v>50</v>
      </c>
      <c r="C252" s="8">
        <v>0.041</v>
      </c>
      <c r="D252" s="8">
        <v>0.088</v>
      </c>
      <c r="E252" s="8">
        <v>0.073</v>
      </c>
      <c r="F252" s="8">
        <v>0.132</v>
      </c>
      <c r="G252" s="8">
        <v>0.113</v>
      </c>
      <c r="H252" s="8">
        <v>0.086</v>
      </c>
      <c r="I252" s="8">
        <v>0.059</v>
      </c>
      <c r="J252" s="8">
        <v>0.054</v>
      </c>
      <c r="K252" s="8">
        <v>0.045</v>
      </c>
      <c r="L252" s="8">
        <v>0.052</v>
      </c>
      <c r="M252" s="8">
        <v>0.042</v>
      </c>
      <c r="N252" s="8">
        <v>0.061</v>
      </c>
      <c r="O252" s="8">
        <v>0.079</v>
      </c>
      <c r="P252" s="8">
        <v>0.094</v>
      </c>
      <c r="Q252" s="8">
        <v>0.118</v>
      </c>
      <c r="R252" s="8">
        <v>0.076</v>
      </c>
      <c r="S252" s="8">
        <v>0.083</v>
      </c>
      <c r="T252" s="9">
        <v>0.057</v>
      </c>
      <c r="U252" s="9">
        <v>0.028</v>
      </c>
    </row>
    <row r="254" spans="1:21" s="8" customFormat="1" ht="11.25">
      <c r="A254" s="8" t="s">
        <v>51</v>
      </c>
      <c r="C254" s="8">
        <v>0.009</v>
      </c>
      <c r="D254" s="8">
        <v>0.021</v>
      </c>
      <c r="E254" s="8">
        <v>0.021</v>
      </c>
      <c r="F254" s="8">
        <v>0</v>
      </c>
      <c r="G254" s="8">
        <v>0.011</v>
      </c>
      <c r="H254" s="8">
        <v>0.012</v>
      </c>
      <c r="I254" s="8">
        <v>0.025</v>
      </c>
      <c r="J254" s="8">
        <v>0.026</v>
      </c>
      <c r="K254" s="8">
        <v>0.013</v>
      </c>
      <c r="L254" s="8">
        <v>0.044</v>
      </c>
      <c r="M254" s="8">
        <v>0.022</v>
      </c>
      <c r="N254" s="8">
        <v>0.033</v>
      </c>
      <c r="O254" s="8">
        <v>0.023</v>
      </c>
      <c r="P254" s="8">
        <v>0.014</v>
      </c>
      <c r="Q254" s="8">
        <v>0.032</v>
      </c>
      <c r="R254" s="8">
        <v>0.034</v>
      </c>
      <c r="S254" s="8">
        <v>0.059</v>
      </c>
      <c r="T254" s="9">
        <v>0.013</v>
      </c>
      <c r="U254" s="9">
        <v>0.019</v>
      </c>
    </row>
    <row r="255" spans="1:21" s="8" customFormat="1" ht="11.25">
      <c r="A255" s="8" t="s">
        <v>55</v>
      </c>
      <c r="C255" s="8">
        <v>0.053</v>
      </c>
      <c r="D255" s="8">
        <v>0.091</v>
      </c>
      <c r="E255" s="8">
        <v>0.102</v>
      </c>
      <c r="F255" s="8">
        <v>0.105</v>
      </c>
      <c r="G255" s="8">
        <v>0.076</v>
      </c>
      <c r="H255" s="8">
        <v>0.088</v>
      </c>
      <c r="I255" s="8">
        <v>0.078</v>
      </c>
      <c r="J255" s="8">
        <v>0.096</v>
      </c>
      <c r="K255" s="8">
        <v>0.124</v>
      </c>
      <c r="L255" s="8">
        <v>0.153</v>
      </c>
      <c r="M255" s="8">
        <v>0.123</v>
      </c>
      <c r="N255" s="8">
        <v>0.161</v>
      </c>
      <c r="O255" s="8">
        <v>0.155</v>
      </c>
      <c r="P255" s="8">
        <v>0.09</v>
      </c>
      <c r="Q255" s="8">
        <v>0.104</v>
      </c>
      <c r="R255" s="8">
        <v>0.129</v>
      </c>
      <c r="S255" s="8">
        <v>0.192</v>
      </c>
      <c r="T255" s="9">
        <v>0.188</v>
      </c>
      <c r="U255" s="9">
        <v>0.132</v>
      </c>
    </row>
    <row r="258" ht="12" thickBot="1"/>
    <row r="259" spans="10:12" ht="11.25">
      <c r="J259" s="46"/>
      <c r="K259" s="46" t="s">
        <v>141</v>
      </c>
      <c r="L259" s="46" t="s">
        <v>142</v>
      </c>
    </row>
    <row r="260" spans="10:12" ht="11.25">
      <c r="J260" s="47" t="s">
        <v>141</v>
      </c>
      <c r="K260" s="47">
        <v>1</v>
      </c>
      <c r="L260" s="47"/>
    </row>
    <row r="261" spans="10:12" ht="12" thickBot="1">
      <c r="J261" s="48" t="s">
        <v>142</v>
      </c>
      <c r="K261" s="48">
        <v>0.558256985067952</v>
      </c>
      <c r="L261" s="48">
        <v>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tabSelected="1" workbookViewId="0" topLeftCell="F1">
      <selection activeCell="G25" sqref="G25"/>
    </sheetView>
  </sheetViews>
  <sheetFormatPr defaultColWidth="9.140625" defaultRowHeight="12.75"/>
  <cols>
    <col min="1" max="1" width="16.421875" style="0" customWidth="1"/>
  </cols>
  <sheetData>
    <row r="1" ht="12.75">
      <c r="A1" t="s">
        <v>154</v>
      </c>
    </row>
    <row r="3" spans="1:20" ht="12.75">
      <c r="A3" s="2" t="s">
        <v>58</v>
      </c>
      <c r="B3" s="2" t="s">
        <v>19</v>
      </c>
      <c r="C3" s="2" t="s">
        <v>3</v>
      </c>
      <c r="D3" s="3" t="s">
        <v>1</v>
      </c>
      <c r="E3" s="3" t="s">
        <v>2</v>
      </c>
      <c r="F3" s="3" t="s">
        <v>17</v>
      </c>
      <c r="G3" s="3" t="s">
        <v>5</v>
      </c>
      <c r="H3" s="3" t="s">
        <v>4</v>
      </c>
      <c r="I3" s="3" t="s">
        <v>13</v>
      </c>
      <c r="J3" s="3" t="s">
        <v>18</v>
      </c>
      <c r="K3" s="3" t="s">
        <v>6</v>
      </c>
      <c r="L3" s="3" t="s">
        <v>114</v>
      </c>
      <c r="M3" s="3" t="s">
        <v>7</v>
      </c>
      <c r="N3" s="3" t="s">
        <v>15</v>
      </c>
      <c r="O3" s="3" t="s">
        <v>108</v>
      </c>
      <c r="P3" s="3" t="s">
        <v>109</v>
      </c>
      <c r="Q3" s="3" t="s">
        <v>119</v>
      </c>
      <c r="R3" s="3" t="s">
        <v>120</v>
      </c>
      <c r="S3" s="3" t="s">
        <v>16</v>
      </c>
      <c r="T3" s="2" t="s">
        <v>113</v>
      </c>
    </row>
    <row r="4" spans="1:20" ht="12.75">
      <c r="A4" s="3" t="s">
        <v>60</v>
      </c>
      <c r="B4" s="2">
        <v>35</v>
      </c>
      <c r="C4" s="5">
        <f>163/35</f>
        <v>4.6571428571428575</v>
      </c>
      <c r="D4" s="5">
        <f>6/35</f>
        <v>0.17142857142857143</v>
      </c>
      <c r="E4" s="5">
        <f>3/35</f>
        <v>0.08571428571428572</v>
      </c>
      <c r="F4" s="5">
        <f>8/35</f>
        <v>0.22857142857142856</v>
      </c>
      <c r="G4" s="5">
        <f>10/35</f>
        <v>0.2857142857142857</v>
      </c>
      <c r="H4" s="5">
        <f>31/35</f>
        <v>0.8857142857142857</v>
      </c>
      <c r="I4" s="5">
        <f>3/35</f>
        <v>0.08571428571428572</v>
      </c>
      <c r="J4" s="5">
        <f>1/35</f>
        <v>0.02857142857142857</v>
      </c>
      <c r="K4" s="5">
        <f>102/35</f>
        <v>2.914285714285714</v>
      </c>
      <c r="L4" s="5">
        <f>2/35</f>
        <v>0.05714285714285714</v>
      </c>
      <c r="M4" s="5">
        <f>2/35</f>
        <v>0.05714285714285714</v>
      </c>
      <c r="N4" s="4">
        <v>0</v>
      </c>
      <c r="O4" s="4">
        <v>0</v>
      </c>
      <c r="P4" s="4">
        <f>2/35</f>
        <v>0.05714285714285714</v>
      </c>
      <c r="Q4" s="5">
        <f>1/35</f>
        <v>0.02857142857142857</v>
      </c>
      <c r="R4" s="5">
        <v>0</v>
      </c>
      <c r="S4" s="5">
        <f>24/35</f>
        <v>0.6857142857142857</v>
      </c>
      <c r="T4" s="5">
        <f>SUM(C4:S4)</f>
        <v>10.228571428571428</v>
      </c>
    </row>
    <row r="5" spans="1:20" ht="12.75">
      <c r="A5" s="3" t="s">
        <v>63</v>
      </c>
      <c r="B5">
        <v>12</v>
      </c>
      <c r="C5" s="50">
        <f>188/12</f>
        <v>15.666666666666666</v>
      </c>
      <c r="D5" s="50">
        <f>3/12</f>
        <v>0.25</v>
      </c>
      <c r="E5" s="50">
        <f>1/12</f>
        <v>0.08333333333333333</v>
      </c>
      <c r="F5" s="50">
        <f>13/12</f>
        <v>1.0833333333333333</v>
      </c>
      <c r="G5" s="50">
        <f>8/12</f>
        <v>0.6666666666666666</v>
      </c>
      <c r="H5" s="50">
        <f>5/12</f>
        <v>0.4166666666666667</v>
      </c>
      <c r="I5" s="50">
        <f>3/12</f>
        <v>0.25</v>
      </c>
      <c r="J5" s="50">
        <f>1/12</f>
        <v>0.08333333333333333</v>
      </c>
      <c r="K5" s="50">
        <f>94/12</f>
        <v>7.833333333333333</v>
      </c>
      <c r="L5" s="50">
        <v>0</v>
      </c>
      <c r="M5" s="50">
        <f>4/12</f>
        <v>0.3333333333333333</v>
      </c>
      <c r="N5" s="50">
        <f>1/12</f>
        <v>0.08333333333333333</v>
      </c>
      <c r="O5" s="50">
        <v>0</v>
      </c>
      <c r="P5" s="50">
        <v>0</v>
      </c>
      <c r="Q5" s="50">
        <v>0</v>
      </c>
      <c r="R5" s="50">
        <v>0</v>
      </c>
      <c r="S5" s="50">
        <f>2/12</f>
        <v>0.16666666666666666</v>
      </c>
      <c r="T5" s="50">
        <f aca="true" t="shared" si="0" ref="T5:T11">SUM(C5:S5)</f>
        <v>26.916666666666664</v>
      </c>
    </row>
    <row r="6" spans="1:20" ht="12.75">
      <c r="A6" s="2" t="s">
        <v>111</v>
      </c>
      <c r="B6" s="2">
        <v>24</v>
      </c>
      <c r="C6" s="5">
        <f>225/24</f>
        <v>9.375</v>
      </c>
      <c r="D6" s="5">
        <f>12/24</f>
        <v>0.5</v>
      </c>
      <c r="E6" s="5">
        <f>4/24</f>
        <v>0.16666666666666666</v>
      </c>
      <c r="F6" s="5">
        <f>12/24</f>
        <v>0.5</v>
      </c>
      <c r="G6" s="5">
        <f>14/24</f>
        <v>0.5833333333333334</v>
      </c>
      <c r="H6" s="5">
        <f>35/24</f>
        <v>1.4583333333333333</v>
      </c>
      <c r="I6" s="5">
        <f>15/24</f>
        <v>0.625</v>
      </c>
      <c r="J6" s="5">
        <f>1/24</f>
        <v>0.041666666666666664</v>
      </c>
      <c r="K6" s="5">
        <f>92/24</f>
        <v>3.8333333333333335</v>
      </c>
      <c r="L6" s="4">
        <v>0</v>
      </c>
      <c r="M6" s="5">
        <f>4/24</f>
        <v>0.16666666666666666</v>
      </c>
      <c r="N6" s="4">
        <f>1/24</f>
        <v>0.041666666666666664</v>
      </c>
      <c r="O6" s="4">
        <f>1/24</f>
        <v>0.041666666666666664</v>
      </c>
      <c r="P6" s="4">
        <v>0</v>
      </c>
      <c r="Q6" s="4">
        <f>1/24</f>
        <v>0.041666666666666664</v>
      </c>
      <c r="R6" s="4">
        <v>0</v>
      </c>
      <c r="S6" s="5">
        <f>18/24</f>
        <v>0.75</v>
      </c>
      <c r="T6" s="5">
        <f t="shared" si="0"/>
        <v>18.125000000000004</v>
      </c>
    </row>
    <row r="7" spans="1:20" ht="12.75">
      <c r="A7" s="2" t="s">
        <v>110</v>
      </c>
      <c r="B7" s="2">
        <v>34</v>
      </c>
      <c r="C7" s="5">
        <f>157/34</f>
        <v>4.617647058823529</v>
      </c>
      <c r="D7" s="5">
        <f>6/34</f>
        <v>0.17647058823529413</v>
      </c>
      <c r="E7" s="5">
        <f>5/34</f>
        <v>0.14705882352941177</v>
      </c>
      <c r="F7" s="5">
        <f>18/34</f>
        <v>0.5294117647058824</v>
      </c>
      <c r="G7" s="5">
        <f>17/34</f>
        <v>0.5</v>
      </c>
      <c r="H7" s="5">
        <f>51/34</f>
        <v>1.5</v>
      </c>
      <c r="I7" s="5">
        <f>5/34</f>
        <v>0.14705882352941177</v>
      </c>
      <c r="J7" s="5">
        <f>1/34</f>
        <v>0.029411764705882353</v>
      </c>
      <c r="K7" s="5">
        <f>65/34</f>
        <v>1.911764705882353</v>
      </c>
      <c r="L7" s="4">
        <f>1/34</f>
        <v>0.029411764705882353</v>
      </c>
      <c r="M7" s="5">
        <v>0</v>
      </c>
      <c r="N7" s="4">
        <v>0</v>
      </c>
      <c r="O7" s="4">
        <v>0</v>
      </c>
      <c r="P7" s="4">
        <v>0</v>
      </c>
      <c r="Q7" s="4">
        <f>2/34</f>
        <v>0.058823529411764705</v>
      </c>
      <c r="R7" s="4">
        <v>0</v>
      </c>
      <c r="S7" s="5">
        <f>6/34</f>
        <v>0.17647058823529413</v>
      </c>
      <c r="T7" s="5">
        <f t="shared" si="0"/>
        <v>9.823529411764705</v>
      </c>
    </row>
    <row r="8" spans="1:20" ht="12.75">
      <c r="A8" s="2" t="s">
        <v>143</v>
      </c>
      <c r="B8" s="2">
        <v>18</v>
      </c>
      <c r="C8" s="5">
        <f>18/13</f>
        <v>1.3846153846153846</v>
      </c>
      <c r="D8" s="4">
        <f>1/18</f>
        <v>0.05555555555555555</v>
      </c>
      <c r="E8" s="4">
        <v>0</v>
      </c>
      <c r="F8" s="5">
        <f>3/18</f>
        <v>0.16666666666666666</v>
      </c>
      <c r="G8" s="4">
        <v>0</v>
      </c>
      <c r="H8" s="5">
        <v>0</v>
      </c>
      <c r="I8" s="5">
        <v>0</v>
      </c>
      <c r="J8" s="4">
        <v>0</v>
      </c>
      <c r="K8" s="5">
        <f>7/18</f>
        <v>0.3888888888888889</v>
      </c>
      <c r="L8" s="5">
        <f>1/18</f>
        <v>0.05555555555555555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5">
        <f t="shared" si="0"/>
        <v>2.051282051282051</v>
      </c>
    </row>
    <row r="9" spans="1:20" ht="12.75">
      <c r="A9" s="2" t="s">
        <v>116</v>
      </c>
      <c r="B9" s="2"/>
      <c r="C9" s="5">
        <f>SUM(C6:C8)</f>
        <v>15.377262443438914</v>
      </c>
      <c r="D9" s="5">
        <f aca="true" t="shared" si="1" ref="D9:S9">SUM(D6:D8)</f>
        <v>0.7320261437908497</v>
      </c>
      <c r="E9" s="5">
        <f t="shared" si="1"/>
        <v>0.3137254901960784</v>
      </c>
      <c r="F9" s="5">
        <f t="shared" si="1"/>
        <v>1.196078431372549</v>
      </c>
      <c r="G9" s="5">
        <f t="shared" si="1"/>
        <v>1.0833333333333335</v>
      </c>
      <c r="H9" s="5">
        <f t="shared" si="1"/>
        <v>2.958333333333333</v>
      </c>
      <c r="I9" s="5">
        <f t="shared" si="1"/>
        <v>0.7720588235294118</v>
      </c>
      <c r="J9" s="5">
        <f t="shared" si="1"/>
        <v>0.07107843137254902</v>
      </c>
      <c r="K9" s="5">
        <f t="shared" si="1"/>
        <v>6.133986928104576</v>
      </c>
      <c r="L9" s="5">
        <f t="shared" si="1"/>
        <v>0.08496732026143791</v>
      </c>
      <c r="M9" s="5">
        <f t="shared" si="1"/>
        <v>0.16666666666666666</v>
      </c>
      <c r="N9" s="5">
        <f t="shared" si="1"/>
        <v>0.041666666666666664</v>
      </c>
      <c r="O9" s="5">
        <f t="shared" si="1"/>
        <v>0.041666666666666664</v>
      </c>
      <c r="P9" s="5">
        <f t="shared" si="1"/>
        <v>0</v>
      </c>
      <c r="Q9" s="5">
        <f t="shared" si="1"/>
        <v>0.10049019607843138</v>
      </c>
      <c r="R9" s="5">
        <f t="shared" si="1"/>
        <v>0</v>
      </c>
      <c r="S9" s="5">
        <f t="shared" si="1"/>
        <v>0.9264705882352942</v>
      </c>
      <c r="T9" s="5">
        <f t="shared" si="0"/>
        <v>29.999811463046758</v>
      </c>
    </row>
    <row r="10" spans="1:20" ht="12.75">
      <c r="A10" s="2" t="s">
        <v>61</v>
      </c>
      <c r="B10" s="2">
        <v>16</v>
      </c>
      <c r="C10" s="5">
        <f>139/16</f>
        <v>8.6875</v>
      </c>
      <c r="D10" s="5">
        <f>1/16</f>
        <v>0.0625</v>
      </c>
      <c r="E10" s="4">
        <f>5/16</f>
        <v>0.3125</v>
      </c>
      <c r="F10" s="5">
        <f>6/16</f>
        <v>0.375</v>
      </c>
      <c r="G10" s="5">
        <f>13/16</f>
        <v>0.8125</v>
      </c>
      <c r="H10" s="5">
        <f>6/16</f>
        <v>0.375</v>
      </c>
      <c r="I10" s="5">
        <f>9/16</f>
        <v>0.5625</v>
      </c>
      <c r="J10" s="5">
        <v>0</v>
      </c>
      <c r="K10" s="5">
        <f>79/16</f>
        <v>4.9375</v>
      </c>
      <c r="L10" s="5">
        <v>0</v>
      </c>
      <c r="M10" s="5">
        <f>6/16</f>
        <v>0.375</v>
      </c>
      <c r="N10" s="4">
        <v>0</v>
      </c>
      <c r="O10" s="5">
        <f>1/16</f>
        <v>0.0625</v>
      </c>
      <c r="P10" s="4">
        <v>0</v>
      </c>
      <c r="Q10" s="4">
        <v>0</v>
      </c>
      <c r="R10" s="4">
        <v>0</v>
      </c>
      <c r="S10" s="5">
        <f>1/16</f>
        <v>0.0625</v>
      </c>
      <c r="T10" s="5">
        <f t="shared" si="0"/>
        <v>16.625</v>
      </c>
    </row>
    <row r="11" spans="1:20" ht="12.75">
      <c r="A11" s="2" t="s">
        <v>112</v>
      </c>
      <c r="B11" s="2">
        <v>8</v>
      </c>
      <c r="C11" s="5">
        <f>98/8</f>
        <v>12.25</v>
      </c>
      <c r="D11" s="5">
        <f>6/8</f>
        <v>0.75</v>
      </c>
      <c r="E11" s="5">
        <f>1/8</f>
        <v>0.125</v>
      </c>
      <c r="F11" s="4">
        <f>3/8</f>
        <v>0.375</v>
      </c>
      <c r="G11" s="5">
        <f>9/8</f>
        <v>1.125</v>
      </c>
      <c r="H11" s="5">
        <f>10/8</f>
        <v>1.25</v>
      </c>
      <c r="I11" s="4">
        <v>0</v>
      </c>
      <c r="J11" s="4">
        <v>0</v>
      </c>
      <c r="K11" s="5">
        <f>53/8</f>
        <v>6.625</v>
      </c>
      <c r="L11" s="4">
        <v>0</v>
      </c>
      <c r="M11" s="5">
        <f>6/8</f>
        <v>0.75</v>
      </c>
      <c r="N11" s="4">
        <v>0</v>
      </c>
      <c r="O11" s="4">
        <v>0</v>
      </c>
      <c r="P11" s="4">
        <v>0</v>
      </c>
      <c r="Q11" s="4">
        <f>1/8</f>
        <v>0.125</v>
      </c>
      <c r="R11" s="4">
        <v>0</v>
      </c>
      <c r="S11" s="4">
        <f>4/8</f>
        <v>0.5</v>
      </c>
      <c r="T11" s="5">
        <f t="shared" si="0"/>
        <v>23.875</v>
      </c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68"/>
  <sheetViews>
    <sheetView workbookViewId="0" topLeftCell="D1">
      <selection activeCell="L34" sqref="L34"/>
    </sheetView>
  </sheetViews>
  <sheetFormatPr defaultColWidth="9.140625" defaultRowHeight="12.75"/>
  <cols>
    <col min="1" max="16384" width="5.421875" style="0" customWidth="1"/>
  </cols>
  <sheetData>
    <row r="1" s="11" customFormat="1" ht="11.25"/>
    <row r="2" s="11" customFormat="1" ht="11.25">
      <c r="A2" s="15" t="s">
        <v>85</v>
      </c>
    </row>
    <row r="3" spans="1:27" s="18" customFormat="1" ht="11.25">
      <c r="A3" s="18" t="s">
        <v>0</v>
      </c>
      <c r="C3" s="41">
        <v>1984</v>
      </c>
      <c r="D3" s="41">
        <v>1985</v>
      </c>
      <c r="E3" s="41">
        <v>1986</v>
      </c>
      <c r="F3" s="41">
        <v>1987</v>
      </c>
      <c r="G3" s="41">
        <v>1988</v>
      </c>
      <c r="H3" s="41">
        <v>1989</v>
      </c>
      <c r="I3" s="18">
        <v>1990</v>
      </c>
      <c r="J3" s="18">
        <v>1991</v>
      </c>
      <c r="K3" s="18">
        <v>1992</v>
      </c>
      <c r="L3" s="18">
        <v>1993</v>
      </c>
      <c r="M3" s="18">
        <v>1994</v>
      </c>
      <c r="N3" s="18">
        <v>1995</v>
      </c>
      <c r="O3" s="18">
        <v>1996</v>
      </c>
      <c r="P3" s="18">
        <v>1997</v>
      </c>
      <c r="Q3" s="18">
        <v>1998</v>
      </c>
      <c r="R3" s="18">
        <v>1999</v>
      </c>
      <c r="S3" s="18">
        <v>2000</v>
      </c>
      <c r="T3" s="18">
        <v>2001</v>
      </c>
      <c r="U3" s="18">
        <v>2002</v>
      </c>
      <c r="V3" s="18">
        <v>2003</v>
      </c>
      <c r="W3" s="18">
        <v>2004</v>
      </c>
      <c r="X3" s="18">
        <v>2005</v>
      </c>
      <c r="Y3" s="18">
        <v>2006</v>
      </c>
      <c r="Z3" s="18">
        <v>2007</v>
      </c>
      <c r="AA3" s="18">
        <v>2008</v>
      </c>
    </row>
    <row r="4" spans="1:27" s="8" customFormat="1" ht="11.25">
      <c r="A4" s="8" t="s">
        <v>50</v>
      </c>
      <c r="C4" s="10">
        <v>0</v>
      </c>
      <c r="D4" s="10">
        <v>0.1</v>
      </c>
      <c r="E4" s="10">
        <v>0.11</v>
      </c>
      <c r="F4" s="10">
        <v>0.01</v>
      </c>
      <c r="G4" s="10">
        <v>0.01</v>
      </c>
      <c r="H4" s="10">
        <v>0</v>
      </c>
      <c r="I4" s="8">
        <v>0</v>
      </c>
      <c r="J4" s="8">
        <f>1.14/19</f>
        <v>0.06</v>
      </c>
      <c r="K4" s="8">
        <f>0.8/19</f>
        <v>0.042105263157894736</v>
      </c>
      <c r="L4" s="8">
        <f>2.6/19</f>
        <v>0.1368421052631579</v>
      </c>
      <c r="M4" s="8">
        <f>2.38/19</f>
        <v>0.12526315789473683</v>
      </c>
      <c r="N4" s="8">
        <f>1.438/19</f>
        <v>0.07568421052631578</v>
      </c>
      <c r="O4" s="8">
        <f>1/19</f>
        <v>0.05263157894736842</v>
      </c>
      <c r="P4" s="8">
        <f>1.286/19</f>
        <v>0.06768421052631579</v>
      </c>
      <c r="Q4" s="8">
        <f>0.83/19</f>
        <v>0.04368421052631579</v>
      </c>
      <c r="R4" s="8">
        <f>1.091/19</f>
        <v>0.05742105263157895</v>
      </c>
      <c r="S4" s="8">
        <f>1/19</f>
        <v>0.05263157894736842</v>
      </c>
      <c r="T4" s="8">
        <f>1.455/19</f>
        <v>0.07657894736842105</v>
      </c>
      <c r="U4" s="8">
        <f>0.727/19</f>
        <v>0.03826315789473684</v>
      </c>
      <c r="V4" s="8">
        <f>2.25/19</f>
        <v>0.11842105263157894</v>
      </c>
      <c r="W4" s="8">
        <f>2.75/19</f>
        <v>0.14473684210526316</v>
      </c>
      <c r="X4" s="8">
        <f>2.143/19</f>
        <v>0.11278947368421051</v>
      </c>
      <c r="Y4" s="8">
        <f>1.77/19</f>
        <v>0.0931578947368421</v>
      </c>
      <c r="Z4" s="8">
        <f>1.235/19</f>
        <v>0.065</v>
      </c>
      <c r="AA4" s="8">
        <f>0.588/19</f>
        <v>0.03094736842105263</v>
      </c>
    </row>
    <row r="5" spans="1:27" s="8" customFormat="1" ht="11.25">
      <c r="A5" s="8" t="s">
        <v>51</v>
      </c>
      <c r="C5" s="10">
        <v>0.07</v>
      </c>
      <c r="D5" s="10">
        <v>0.02</v>
      </c>
      <c r="E5" s="10">
        <v>0.05</v>
      </c>
      <c r="F5" s="10">
        <v>0</v>
      </c>
      <c r="G5" s="10">
        <v>0.01</v>
      </c>
      <c r="H5" s="10">
        <v>0</v>
      </c>
      <c r="I5" s="8">
        <f>0</f>
        <v>0</v>
      </c>
      <c r="J5" s="8">
        <v>0</v>
      </c>
      <c r="K5" s="8">
        <f>0.5/19</f>
        <v>0.02631578947368421</v>
      </c>
      <c r="L5" s="8">
        <v>0</v>
      </c>
      <c r="M5" s="8">
        <f>0.25/19</f>
        <v>0.013157894736842105</v>
      </c>
      <c r="N5" s="8">
        <f>0.375/19</f>
        <v>0.019736842105263157</v>
      </c>
      <c r="O5" s="8">
        <f>1/19</f>
        <v>0.05263157894736842</v>
      </c>
      <c r="P5" s="8">
        <f>1.214/19</f>
        <v>0.06389473684210527</v>
      </c>
      <c r="Q5" s="8">
        <f>0.167/19</f>
        <v>0.008789473684210528</v>
      </c>
      <c r="R5" s="8">
        <f>0.909/19</f>
        <v>0.047842105263157894</v>
      </c>
      <c r="S5" s="8">
        <f>0.33/19</f>
        <v>0.017368421052631578</v>
      </c>
      <c r="T5" s="8">
        <f>1/19</f>
        <v>0.05263157894736842</v>
      </c>
      <c r="U5" s="8">
        <f>0.455/19</f>
        <v>0.023947368421052634</v>
      </c>
      <c r="V5" s="8">
        <v>0</v>
      </c>
      <c r="W5" s="8">
        <f>0.15/19</f>
        <v>0.007894736842105263</v>
      </c>
      <c r="X5" s="8">
        <f>0.571/19</f>
        <v>0.030052631578947366</v>
      </c>
      <c r="Y5" s="8">
        <f>2.15/19</f>
        <v>0.1131578947368421</v>
      </c>
      <c r="Z5" s="8">
        <f>0.529/19</f>
        <v>0.027842105263157897</v>
      </c>
      <c r="AA5" s="8">
        <f>0.882/19</f>
        <v>0.046421052631578946</v>
      </c>
    </row>
    <row r="6" spans="1:27" s="8" customFormat="1" ht="11.25">
      <c r="A6" s="8" t="s">
        <v>76</v>
      </c>
      <c r="C6" s="10">
        <v>0.13</v>
      </c>
      <c r="D6" s="10">
        <v>0.21</v>
      </c>
      <c r="E6" s="10">
        <v>0.27</v>
      </c>
      <c r="F6" s="10">
        <v>0.13</v>
      </c>
      <c r="G6" s="10">
        <v>0.08</v>
      </c>
      <c r="H6" s="10">
        <v>0.06</v>
      </c>
      <c r="I6" s="8">
        <f>2.8/19</f>
        <v>0.14736842105263157</v>
      </c>
      <c r="J6" s="8">
        <f>2.14/19</f>
        <v>0.11263157894736843</v>
      </c>
      <c r="K6" s="8">
        <f>5.75/19</f>
        <v>0.3026315789473684</v>
      </c>
      <c r="L6" s="8">
        <f>4.6/19</f>
        <v>0.2421052631578947</v>
      </c>
      <c r="M6" s="8">
        <f>3.75/19</f>
        <v>0.19736842105263158</v>
      </c>
      <c r="N6" s="8">
        <f>3.69/19</f>
        <v>0.19421052631578947</v>
      </c>
      <c r="O6" s="8">
        <f>8.13/19</f>
        <v>0.4278947368421053</v>
      </c>
      <c r="P6" s="8">
        <f>6.5/19</f>
        <v>0.34210526315789475</v>
      </c>
      <c r="Q6" s="8">
        <f>5.5/19</f>
        <v>0.2894736842105263</v>
      </c>
      <c r="R6" s="8">
        <f>5/19</f>
        <v>0.2631578947368421</v>
      </c>
      <c r="S6" s="8">
        <f>5.89/19</f>
        <v>0.31</v>
      </c>
      <c r="T6" s="8">
        <f>5.82/19</f>
        <v>0.3063157894736842</v>
      </c>
      <c r="U6" s="8">
        <f>6.27/19</f>
        <v>0.32999999999999996</v>
      </c>
      <c r="V6" s="8">
        <f>6.83/19</f>
        <v>0.35947368421052633</v>
      </c>
      <c r="W6" s="8">
        <f>4.95/19</f>
        <v>0.2605263157894737</v>
      </c>
      <c r="X6" s="8">
        <f>6.79/19</f>
        <v>0.35736842105263156</v>
      </c>
      <c r="Y6" s="8">
        <f>9.15/19</f>
        <v>0.48157894736842105</v>
      </c>
      <c r="Z6" s="8">
        <f>6.118/19</f>
        <v>0.322</v>
      </c>
      <c r="AA6" s="8">
        <f>6.824/19</f>
        <v>0.3591578947368421</v>
      </c>
    </row>
    <row r="7" spans="1:27" s="8" customFormat="1" ht="11.25">
      <c r="A7" s="8" t="s">
        <v>77</v>
      </c>
      <c r="C7" s="8">
        <v>0</v>
      </c>
      <c r="D7" s="10">
        <v>0.23</v>
      </c>
      <c r="E7" s="10">
        <v>0.27</v>
      </c>
      <c r="F7" s="10">
        <v>0.06</v>
      </c>
      <c r="G7" s="10">
        <v>0.05</v>
      </c>
      <c r="H7" s="10">
        <v>0.08</v>
      </c>
      <c r="I7" s="8">
        <f>1/19</f>
        <v>0.05263157894736842</v>
      </c>
      <c r="J7" s="8">
        <f>1/19</f>
        <v>0.05263157894736842</v>
      </c>
      <c r="K7" s="8">
        <f>2/19</f>
        <v>0.10526315789473684</v>
      </c>
      <c r="L7" s="8">
        <f>3.2/19</f>
        <v>0.16842105263157894</v>
      </c>
      <c r="M7" s="8">
        <f>2.31/19</f>
        <v>0.12157894736842105</v>
      </c>
      <c r="N7" s="8">
        <f>1.88/19</f>
        <v>0.09894736842105263</v>
      </c>
      <c r="O7" s="8">
        <f>1.38/19</f>
        <v>0.07263157894736842</v>
      </c>
      <c r="P7" s="8">
        <f>1.93/19</f>
        <v>0.10157894736842105</v>
      </c>
      <c r="Q7" s="8">
        <f>1/19</f>
        <v>0.05263157894736842</v>
      </c>
      <c r="R7" s="8">
        <f>0.82/19</f>
        <v>0.0431578947368421</v>
      </c>
      <c r="S7" s="8">
        <f>0.33/19</f>
        <v>0.017368421052631578</v>
      </c>
      <c r="T7" s="8">
        <f>0.55/19</f>
        <v>0.028947368421052635</v>
      </c>
      <c r="U7" s="8">
        <f>0.46/19</f>
        <v>0.024210526315789474</v>
      </c>
      <c r="V7" s="8">
        <f>2.25/19</f>
        <v>0.11842105263157894</v>
      </c>
      <c r="W7" s="8">
        <f>0.85/19</f>
        <v>0.04473684210526316</v>
      </c>
      <c r="X7" s="8">
        <f>0.57/19</f>
        <v>0.03</v>
      </c>
      <c r="Y7" s="8">
        <f>1.31/19</f>
        <v>0.06894736842105263</v>
      </c>
      <c r="Z7" s="8">
        <f>0.235/19</f>
        <v>0.012368421052631579</v>
      </c>
      <c r="AA7" s="8">
        <f>0.118/19</f>
        <v>0.006210526315789474</v>
      </c>
    </row>
    <row r="8" spans="1:27" s="8" customFormat="1" ht="11.25">
      <c r="A8" s="8" t="s">
        <v>66</v>
      </c>
      <c r="C8" s="10">
        <v>0.03</v>
      </c>
      <c r="D8" s="10">
        <v>0.07</v>
      </c>
      <c r="E8" s="10">
        <v>0.05</v>
      </c>
      <c r="F8" s="10">
        <v>0.06</v>
      </c>
      <c r="G8" s="10">
        <v>0.03</v>
      </c>
      <c r="H8" s="10">
        <v>0.02</v>
      </c>
      <c r="I8" s="8">
        <f>0.8/19</f>
        <v>0.042105263157894736</v>
      </c>
      <c r="J8" s="8">
        <f>1.29/19</f>
        <v>0.06789473684210527</v>
      </c>
      <c r="K8" s="8">
        <f>0.5/19</f>
        <v>0.02631578947368421</v>
      </c>
      <c r="L8" s="8">
        <f>1.1/19</f>
        <v>0.05789473684210527</v>
      </c>
      <c r="M8" s="8">
        <f>1.44/19</f>
        <v>0.07578947368421052</v>
      </c>
      <c r="N8" s="8">
        <f>2.25/19</f>
        <v>0.11842105263157894</v>
      </c>
      <c r="O8" s="8">
        <f>1.5/19</f>
        <v>0.07894736842105263</v>
      </c>
      <c r="P8" s="8">
        <f>1.143/19</f>
        <v>0.060157894736842105</v>
      </c>
      <c r="Q8" s="8">
        <v>0</v>
      </c>
      <c r="R8" s="8">
        <v>0</v>
      </c>
      <c r="S8" s="8">
        <v>0</v>
      </c>
      <c r="T8" s="8">
        <v>0</v>
      </c>
      <c r="U8" s="8">
        <f>0.09/19</f>
        <v>0.004736842105263157</v>
      </c>
      <c r="V8" s="8">
        <f>0.42/19</f>
        <v>0.022105263157894735</v>
      </c>
      <c r="W8" s="8">
        <f>0.1/19</f>
        <v>0.005263157894736842</v>
      </c>
      <c r="X8" s="8">
        <v>0</v>
      </c>
      <c r="Y8" s="8">
        <f>0.08/19</f>
        <v>0.004210526315789474</v>
      </c>
      <c r="Z8" s="8">
        <v>0</v>
      </c>
      <c r="AA8" s="8">
        <f>0.059/19</f>
        <v>0.003105263157894737</v>
      </c>
    </row>
    <row r="9" spans="1:27" s="8" customFormat="1" ht="11.25">
      <c r="A9" s="8" t="s">
        <v>53</v>
      </c>
      <c r="C9" s="10">
        <v>0.01</v>
      </c>
      <c r="D9" s="10">
        <v>0.02</v>
      </c>
      <c r="E9" s="10">
        <v>0.01</v>
      </c>
      <c r="F9" s="10">
        <v>0.01</v>
      </c>
      <c r="G9" s="10">
        <v>0</v>
      </c>
      <c r="H9" s="10">
        <v>0</v>
      </c>
      <c r="I9" s="8">
        <f>0.1/19</f>
        <v>0.005263157894736842</v>
      </c>
      <c r="J9" s="8">
        <f>0.14/19</f>
        <v>0.00736842105263158</v>
      </c>
      <c r="K9" s="8">
        <f>0.25/19</f>
        <v>0.013157894736842105</v>
      </c>
      <c r="L9" s="8">
        <v>0</v>
      </c>
      <c r="M9" s="8">
        <f>0.94/19</f>
        <v>0.049473684210526316</v>
      </c>
      <c r="N9" s="8">
        <f>0.688/19</f>
        <v>0.03621052631578947</v>
      </c>
      <c r="O9" s="8">
        <f>0.75/19</f>
        <v>0.039473684210526314</v>
      </c>
      <c r="P9" s="8">
        <f>0.429/19</f>
        <v>0.022578947368421053</v>
      </c>
      <c r="Q9" s="8">
        <f>0.33/19</f>
        <v>0.017368421052631578</v>
      </c>
      <c r="R9" s="8">
        <f>0.273/19</f>
        <v>0.01436842105263158</v>
      </c>
      <c r="S9" s="8">
        <f>0.556/19</f>
        <v>0.029263157894736845</v>
      </c>
      <c r="T9" s="8">
        <f>0.818/19</f>
        <v>0.04305263157894736</v>
      </c>
      <c r="U9" s="8">
        <f>1/19</f>
        <v>0.05263157894736842</v>
      </c>
      <c r="V9" s="8">
        <f>0.33/19</f>
        <v>0.017368421052631578</v>
      </c>
      <c r="W9" s="8">
        <f>0.25/19</f>
        <v>0.013157894736842105</v>
      </c>
      <c r="X9" s="8">
        <f>0.214/19</f>
        <v>0.011263157894736841</v>
      </c>
      <c r="Y9" s="8">
        <f>1.08/19</f>
        <v>0.056842105263157895</v>
      </c>
      <c r="Z9" s="8">
        <f>0.235/19</f>
        <v>0.012368421052631579</v>
      </c>
      <c r="AA9" s="8">
        <f>0.588/19</f>
        <v>0.03094736842105263</v>
      </c>
    </row>
    <row r="10" spans="1:27" s="8" customFormat="1" ht="11.25">
      <c r="A10" s="8" t="s">
        <v>78</v>
      </c>
      <c r="C10" s="10">
        <v>0.07</v>
      </c>
      <c r="D10" s="10">
        <v>0.08</v>
      </c>
      <c r="E10" s="10">
        <v>0.07</v>
      </c>
      <c r="F10" s="10">
        <v>0.03</v>
      </c>
      <c r="G10" s="10">
        <v>0.04</v>
      </c>
      <c r="H10" s="10">
        <v>0.08</v>
      </c>
      <c r="I10" s="8">
        <f>0.8/19</f>
        <v>0.042105263157894736</v>
      </c>
      <c r="J10" s="8">
        <f>1.29/19</f>
        <v>0.06789473684210527</v>
      </c>
      <c r="K10" s="8">
        <f>3.25/19</f>
        <v>0.17105263157894737</v>
      </c>
      <c r="L10" s="8">
        <f>2/19</f>
        <v>0.10526315789473684</v>
      </c>
      <c r="M10" s="8">
        <f>2/19</f>
        <v>0.10526315789473684</v>
      </c>
      <c r="N10" s="8">
        <f>2.25/19</f>
        <v>0.11842105263157894</v>
      </c>
      <c r="O10" s="8">
        <f>2.25/19</f>
        <v>0.11842105263157894</v>
      </c>
      <c r="P10" s="8">
        <f>3.214/19</f>
        <v>0.1691578947368421</v>
      </c>
      <c r="Q10" s="8">
        <f>4.17/19</f>
        <v>0.21947368421052632</v>
      </c>
      <c r="R10" s="8">
        <f>4.64/19</f>
        <v>0.24421052631578946</v>
      </c>
      <c r="S10" s="8">
        <f>2.7/19</f>
        <v>0.14210526315789473</v>
      </c>
      <c r="T10" s="8">
        <v>0.1721</v>
      </c>
      <c r="U10" s="8">
        <v>0.1195</v>
      </c>
      <c r="V10" s="8">
        <f>0.833/19</f>
        <v>0.04384210526315789</v>
      </c>
      <c r="W10" s="8">
        <f>1.45/19</f>
        <v>0.07631578947368421</v>
      </c>
      <c r="X10" s="8">
        <f>2/19</f>
        <v>0.10526315789473684</v>
      </c>
      <c r="Y10" s="8">
        <f>3.46/19</f>
        <v>0.18210526315789474</v>
      </c>
      <c r="Z10" s="8">
        <f>2.824/19</f>
        <v>0.14863157894736842</v>
      </c>
      <c r="AA10" s="8">
        <f>3/19</f>
        <v>0.15789473684210525</v>
      </c>
    </row>
    <row r="11" spans="1:27" s="8" customFormat="1" ht="11.25">
      <c r="A11" s="10" t="s">
        <v>54</v>
      </c>
      <c r="I11" s="8">
        <f>0.1/19</f>
        <v>0.005263157894736842</v>
      </c>
      <c r="J11" s="8">
        <v>0</v>
      </c>
      <c r="K11" s="8">
        <v>0.0132</v>
      </c>
      <c r="L11" s="8">
        <v>0</v>
      </c>
      <c r="M11" s="8">
        <f>0.06/19</f>
        <v>0.003157894736842105</v>
      </c>
      <c r="N11" s="8">
        <f>0.188/19</f>
        <v>0.009894736842105263</v>
      </c>
      <c r="O11" s="8">
        <f>0.75/19</f>
        <v>0.039473684210526314</v>
      </c>
      <c r="P11" s="8">
        <v>0</v>
      </c>
      <c r="Q11" s="8">
        <v>0</v>
      </c>
      <c r="R11" s="8">
        <f>0.182/19</f>
        <v>0.009578947368421053</v>
      </c>
      <c r="S11" s="8">
        <v>0</v>
      </c>
      <c r="T11" s="8">
        <f>0.273/19</f>
        <v>0.01436842105263158</v>
      </c>
      <c r="U11" s="8">
        <f>0.091/19</f>
        <v>0.004789473684210527</v>
      </c>
      <c r="V11" s="8">
        <f>0.167/19</f>
        <v>0.008789473684210528</v>
      </c>
      <c r="W11" s="8">
        <f>0.05/19</f>
        <v>0.002631578947368421</v>
      </c>
      <c r="X11" s="8">
        <f>0.143/19</f>
        <v>0.007526315789473684</v>
      </c>
      <c r="Y11" s="8">
        <f>0.08/19</f>
        <v>0.004210526315789474</v>
      </c>
      <c r="Z11" s="8">
        <f>0.059/19</f>
        <v>0.003105263157894737</v>
      </c>
      <c r="AA11" s="8">
        <f>0.059/19</f>
        <v>0.003105263157894737</v>
      </c>
    </row>
    <row r="12" spans="1:27" s="8" customFormat="1" ht="11.25">
      <c r="A12" s="8" t="s">
        <v>24</v>
      </c>
      <c r="C12" s="8">
        <f>SUM(C4:C11)</f>
        <v>0.31000000000000005</v>
      </c>
      <c r="D12" s="8">
        <f>SUM(D4:D11)</f>
        <v>0.7300000000000001</v>
      </c>
      <c r="E12" s="8">
        <f>SUM(C12:D12)</f>
        <v>1.04</v>
      </c>
      <c r="F12" s="8">
        <f>SUM(F4:F11)</f>
        <v>0.30000000000000004</v>
      </c>
      <c r="G12" s="8">
        <f>SUM(G4:G11)</f>
        <v>0.22000000000000003</v>
      </c>
      <c r="H12" s="8">
        <f>SUM(F12:G12)</f>
        <v>0.52</v>
      </c>
      <c r="I12" s="8">
        <f>6/19</f>
        <v>0.3157894736842105</v>
      </c>
      <c r="J12" s="8">
        <f>7.43/19</f>
        <v>0.3910526315789474</v>
      </c>
      <c r="K12" s="8">
        <f>13.55/19</f>
        <v>0.7131578947368421</v>
      </c>
      <c r="L12" s="8">
        <f>13.5/19</f>
        <v>0.7105263157894737</v>
      </c>
      <c r="M12" s="8">
        <f>13.62/19</f>
        <v>0.7168421052631578</v>
      </c>
      <c r="N12" s="8">
        <f>13.688/19</f>
        <v>0.720421052631579</v>
      </c>
      <c r="O12" s="8">
        <f>18.125/19</f>
        <v>0.9539473684210527</v>
      </c>
      <c r="P12" s="8">
        <f>16.857/19</f>
        <v>0.8872105263157894</v>
      </c>
      <c r="Q12" s="8">
        <f>12.327/19</f>
        <v>0.6487894736842105</v>
      </c>
      <c r="R12" s="8">
        <f>12.219/19</f>
        <v>0.6431052631578947</v>
      </c>
      <c r="S12" s="8">
        <f>13.818/19</f>
        <v>0.7272631578947368</v>
      </c>
      <c r="T12" s="8">
        <f>14.333/19</f>
        <v>0.7543684210526316</v>
      </c>
      <c r="U12" s="8">
        <f>11.909/19</f>
        <v>0.6267894736842106</v>
      </c>
      <c r="V12" s="8">
        <f>14.333/19</f>
        <v>0.7543684210526316</v>
      </c>
      <c r="W12" s="8">
        <f>11.35/19</f>
        <v>0.5973684210526315</v>
      </c>
      <c r="X12" s="8">
        <f>12.786/43.5</f>
        <v>0.2939310344827586</v>
      </c>
      <c r="Y12" s="8">
        <f>20.08/19</f>
        <v>1.0568421052631578</v>
      </c>
      <c r="Z12" s="8">
        <f>12.824/19</f>
        <v>0.6749473684210526</v>
      </c>
      <c r="AA12" s="8">
        <f>12.647/19</f>
        <v>0.6656315789473685</v>
      </c>
    </row>
    <row r="14" spans="3:27" s="18" customFormat="1" ht="11.25">
      <c r="C14" s="41">
        <v>1984</v>
      </c>
      <c r="D14" s="41">
        <v>1985</v>
      </c>
      <c r="E14" s="41">
        <v>1986</v>
      </c>
      <c r="F14" s="41">
        <v>1987</v>
      </c>
      <c r="G14" s="41">
        <v>1988</v>
      </c>
      <c r="H14" s="41">
        <v>1989</v>
      </c>
      <c r="I14" s="18">
        <v>1990</v>
      </c>
      <c r="J14" s="18">
        <v>1991</v>
      </c>
      <c r="K14" s="18">
        <v>1992</v>
      </c>
      <c r="L14" s="18">
        <v>1993</v>
      </c>
      <c r="M14" s="18">
        <v>1994</v>
      </c>
      <c r="N14" s="18">
        <v>1995</v>
      </c>
      <c r="O14" s="18">
        <v>1996</v>
      </c>
      <c r="P14" s="18">
        <v>1997</v>
      </c>
      <c r="Q14" s="18">
        <v>1998</v>
      </c>
      <c r="R14" s="18">
        <v>1999</v>
      </c>
      <c r="S14" s="18">
        <v>2000</v>
      </c>
      <c r="T14" s="18">
        <v>2001</v>
      </c>
      <c r="U14" s="18">
        <v>2002</v>
      </c>
      <c r="V14" s="18">
        <v>2003</v>
      </c>
      <c r="W14" s="18">
        <v>2004</v>
      </c>
      <c r="X14" s="18">
        <v>2005</v>
      </c>
      <c r="Y14" s="18">
        <v>2006</v>
      </c>
      <c r="Z14" s="18">
        <v>2007</v>
      </c>
      <c r="AA14" s="18">
        <v>2008</v>
      </c>
    </row>
    <row r="15" spans="1:27" s="8" customFormat="1" ht="11.25">
      <c r="A15" s="8" t="s">
        <v>50</v>
      </c>
      <c r="C15" s="10">
        <v>0</v>
      </c>
      <c r="D15" s="10">
        <v>0.1</v>
      </c>
      <c r="E15" s="10">
        <v>0.11</v>
      </c>
      <c r="F15" s="10">
        <v>0.01</v>
      </c>
      <c r="G15" s="10">
        <v>0.01</v>
      </c>
      <c r="H15" s="10">
        <v>0</v>
      </c>
      <c r="I15" s="8">
        <v>0</v>
      </c>
      <c r="J15" s="8">
        <f>1.14/19</f>
        <v>0.06</v>
      </c>
      <c r="K15" s="8">
        <f>0.8/19</f>
        <v>0.042105263157894736</v>
      </c>
      <c r="L15" s="8">
        <f>2.6/19</f>
        <v>0.1368421052631579</v>
      </c>
      <c r="M15" s="8">
        <f>2.38/19</f>
        <v>0.12526315789473683</v>
      </c>
      <c r="N15" s="8">
        <f>1.438/19</f>
        <v>0.07568421052631578</v>
      </c>
      <c r="O15" s="8">
        <f>1/19</f>
        <v>0.05263157894736842</v>
      </c>
      <c r="P15" s="8">
        <f>1.286/19</f>
        <v>0.06768421052631579</v>
      </c>
      <c r="Q15" s="8">
        <f>0.83/19</f>
        <v>0.04368421052631579</v>
      </c>
      <c r="R15" s="8">
        <f>1.091/19</f>
        <v>0.05742105263157895</v>
      </c>
      <c r="S15" s="8">
        <f>1/19</f>
        <v>0.05263157894736842</v>
      </c>
      <c r="T15" s="8">
        <f>1.455/19</f>
        <v>0.07657894736842105</v>
      </c>
      <c r="U15" s="8">
        <f>0.727/19</f>
        <v>0.03826315789473684</v>
      </c>
      <c r="V15" s="8">
        <f>2.25/19</f>
        <v>0.11842105263157894</v>
      </c>
      <c r="W15" s="8">
        <f>2.75/19</f>
        <v>0.14473684210526316</v>
      </c>
      <c r="X15" s="8">
        <f>2.143/19</f>
        <v>0.11278947368421051</v>
      </c>
      <c r="Y15" s="8">
        <f>1.77/19</f>
        <v>0.0931578947368421</v>
      </c>
      <c r="Z15" s="8">
        <f>1.235/19</f>
        <v>0.065</v>
      </c>
      <c r="AA15" s="8">
        <f>0.588/19</f>
        <v>0.03094736842105263</v>
      </c>
    </row>
    <row r="16" spans="1:27" s="8" customFormat="1" ht="11.25">
      <c r="A16" s="8" t="s">
        <v>53</v>
      </c>
      <c r="C16" s="10">
        <v>0.01</v>
      </c>
      <c r="D16" s="10">
        <v>0.02</v>
      </c>
      <c r="E16" s="10">
        <v>0.01</v>
      </c>
      <c r="F16" s="10">
        <v>0.01</v>
      </c>
      <c r="G16" s="10">
        <v>0</v>
      </c>
      <c r="H16" s="10">
        <v>0</v>
      </c>
      <c r="I16" s="8">
        <f>0.1/19</f>
        <v>0.005263157894736842</v>
      </c>
      <c r="J16" s="8">
        <f>0.14/19</f>
        <v>0.00736842105263158</v>
      </c>
      <c r="K16" s="8">
        <f>0.25/19</f>
        <v>0.013157894736842105</v>
      </c>
      <c r="L16" s="8">
        <v>0</v>
      </c>
      <c r="M16" s="8">
        <f>0.94/19</f>
        <v>0.049473684210526316</v>
      </c>
      <c r="N16" s="8">
        <f>0.688/19</f>
        <v>0.03621052631578947</v>
      </c>
      <c r="O16" s="8">
        <f>0.75/19</f>
        <v>0.039473684210526314</v>
      </c>
      <c r="P16" s="8">
        <f>0.429/19</f>
        <v>0.022578947368421053</v>
      </c>
      <c r="Q16" s="8">
        <f>0.33/19</f>
        <v>0.017368421052631578</v>
      </c>
      <c r="R16" s="8">
        <f>0.273/19</f>
        <v>0.01436842105263158</v>
      </c>
      <c r="S16" s="8">
        <f>0.556/19</f>
        <v>0.029263157894736845</v>
      </c>
      <c r="T16" s="8">
        <f>0.818/19</f>
        <v>0.04305263157894736</v>
      </c>
      <c r="U16" s="8">
        <f>1/19</f>
        <v>0.05263157894736842</v>
      </c>
      <c r="V16" s="8">
        <f>0.33/19</f>
        <v>0.017368421052631578</v>
      </c>
      <c r="W16" s="8">
        <f>0.25/19</f>
        <v>0.013157894736842105</v>
      </c>
      <c r="X16" s="8">
        <f>0.214/19</f>
        <v>0.011263157894736841</v>
      </c>
      <c r="Y16" s="8">
        <f>1.08/19</f>
        <v>0.056842105263157895</v>
      </c>
      <c r="Z16" s="8">
        <f>0.235/19</f>
        <v>0.012368421052631579</v>
      </c>
      <c r="AA16" s="8">
        <f>0.588/19</f>
        <v>0.03094736842105263</v>
      </c>
    </row>
    <row r="17" spans="3:8" s="8" customFormat="1" ht="11.25">
      <c r="C17" s="10"/>
      <c r="D17" s="10"/>
      <c r="E17" s="10"/>
      <c r="F17" s="10"/>
      <c r="G17" s="10"/>
      <c r="H17" s="10"/>
    </row>
    <row r="35" spans="3:27" s="18" customFormat="1" ht="11.25">
      <c r="C35" s="41">
        <v>1984</v>
      </c>
      <c r="D35" s="41">
        <v>1985</v>
      </c>
      <c r="E35" s="41">
        <v>1986</v>
      </c>
      <c r="F35" s="41">
        <v>1987</v>
      </c>
      <c r="G35" s="41">
        <v>1988</v>
      </c>
      <c r="H35" s="41">
        <v>1989</v>
      </c>
      <c r="I35" s="18">
        <v>1990</v>
      </c>
      <c r="J35" s="18">
        <v>1991</v>
      </c>
      <c r="K35" s="18">
        <v>1992</v>
      </c>
      <c r="L35" s="18">
        <v>1993</v>
      </c>
      <c r="M35" s="18">
        <v>1994</v>
      </c>
      <c r="N35" s="18">
        <v>1995</v>
      </c>
      <c r="O35" s="18">
        <v>1996</v>
      </c>
      <c r="P35" s="18">
        <v>1997</v>
      </c>
      <c r="Q35" s="18">
        <v>1998</v>
      </c>
      <c r="R35" s="18">
        <v>1999</v>
      </c>
      <c r="S35" s="18">
        <v>2000</v>
      </c>
      <c r="T35" s="18">
        <v>2001</v>
      </c>
      <c r="U35" s="18">
        <v>2002</v>
      </c>
      <c r="V35" s="18">
        <v>2003</v>
      </c>
      <c r="W35" s="18">
        <v>2004</v>
      </c>
      <c r="X35" s="18">
        <v>2005</v>
      </c>
      <c r="Y35" s="18">
        <v>2006</v>
      </c>
      <c r="Z35" s="18">
        <v>2007</v>
      </c>
      <c r="AA35" s="18">
        <v>2008</v>
      </c>
    </row>
    <row r="36" spans="1:27" s="8" customFormat="1" ht="11.25">
      <c r="A36" s="8" t="s">
        <v>76</v>
      </c>
      <c r="C36" s="10">
        <v>0.13</v>
      </c>
      <c r="D36" s="10">
        <v>0.21</v>
      </c>
      <c r="E36" s="10">
        <v>0.27</v>
      </c>
      <c r="F36" s="10">
        <v>0.13</v>
      </c>
      <c r="G36" s="10">
        <v>0.08</v>
      </c>
      <c r="H36" s="10">
        <v>0.06</v>
      </c>
      <c r="I36" s="8">
        <f>2.8/19</f>
        <v>0.14736842105263157</v>
      </c>
      <c r="J36" s="8">
        <f>2.14/19</f>
        <v>0.11263157894736843</v>
      </c>
      <c r="K36" s="8">
        <f>5.75/19</f>
        <v>0.3026315789473684</v>
      </c>
      <c r="L36" s="8">
        <f>4.6/19</f>
        <v>0.2421052631578947</v>
      </c>
      <c r="M36" s="8">
        <f>3.75/19</f>
        <v>0.19736842105263158</v>
      </c>
      <c r="N36" s="8">
        <f>3.69/19</f>
        <v>0.19421052631578947</v>
      </c>
      <c r="O36" s="8">
        <f>8.13/19</f>
        <v>0.4278947368421053</v>
      </c>
      <c r="P36" s="8">
        <f>6.5/19</f>
        <v>0.34210526315789475</v>
      </c>
      <c r="Q36" s="8">
        <f>5.5/19</f>
        <v>0.2894736842105263</v>
      </c>
      <c r="R36" s="8">
        <f>5/19</f>
        <v>0.2631578947368421</v>
      </c>
      <c r="S36" s="8">
        <f>5.89/19</f>
        <v>0.31</v>
      </c>
      <c r="T36" s="8">
        <f>5.82/19</f>
        <v>0.3063157894736842</v>
      </c>
      <c r="U36" s="8">
        <f>6.27/19</f>
        <v>0.32999999999999996</v>
      </c>
      <c r="V36" s="8">
        <f>6.83/19</f>
        <v>0.35947368421052633</v>
      </c>
      <c r="W36" s="8">
        <f>4.95/19</f>
        <v>0.2605263157894737</v>
      </c>
      <c r="X36" s="8">
        <f>6.79/19</f>
        <v>0.35736842105263156</v>
      </c>
      <c r="Y36" s="8">
        <f>9.15/19</f>
        <v>0.48157894736842105</v>
      </c>
      <c r="Z36" s="8">
        <f>6.118/19</f>
        <v>0.322</v>
      </c>
      <c r="AA36" s="8">
        <f>6.824/19</f>
        <v>0.3591578947368421</v>
      </c>
    </row>
    <row r="37" spans="1:27" s="8" customFormat="1" ht="11.25">
      <c r="A37" s="8" t="s">
        <v>77</v>
      </c>
      <c r="C37" s="8">
        <v>0</v>
      </c>
      <c r="D37" s="10">
        <v>0.23</v>
      </c>
      <c r="E37" s="10">
        <v>0.27</v>
      </c>
      <c r="F37" s="10">
        <v>0.06</v>
      </c>
      <c r="G37" s="10">
        <v>0.05</v>
      </c>
      <c r="H37" s="10">
        <v>0.08</v>
      </c>
      <c r="I37" s="8">
        <f>1/19</f>
        <v>0.05263157894736842</v>
      </c>
      <c r="J37" s="8">
        <f>1/19</f>
        <v>0.05263157894736842</v>
      </c>
      <c r="K37" s="8">
        <f>2/19</f>
        <v>0.10526315789473684</v>
      </c>
      <c r="L37" s="8">
        <f>3.2/19</f>
        <v>0.16842105263157894</v>
      </c>
      <c r="M37" s="8">
        <f>2.31/19</f>
        <v>0.12157894736842105</v>
      </c>
      <c r="N37" s="8">
        <f>1.88/19</f>
        <v>0.09894736842105263</v>
      </c>
      <c r="O37" s="8">
        <f>1.38/19</f>
        <v>0.07263157894736842</v>
      </c>
      <c r="P37" s="8">
        <f>1.93/19</f>
        <v>0.10157894736842105</v>
      </c>
      <c r="Q37" s="8">
        <f>1/19</f>
        <v>0.05263157894736842</v>
      </c>
      <c r="R37" s="8">
        <f>0.82/19</f>
        <v>0.0431578947368421</v>
      </c>
      <c r="S37" s="8">
        <f>0.33/19</f>
        <v>0.017368421052631578</v>
      </c>
      <c r="T37" s="8">
        <f>0.55/19</f>
        <v>0.028947368421052635</v>
      </c>
      <c r="U37" s="8">
        <f>0.46/19</f>
        <v>0.024210526315789474</v>
      </c>
      <c r="V37" s="8">
        <f>2.25/19</f>
        <v>0.11842105263157894</v>
      </c>
      <c r="W37" s="8">
        <f>0.85/19</f>
        <v>0.04473684210526316</v>
      </c>
      <c r="X37" s="8">
        <f>0.57/19</f>
        <v>0.03</v>
      </c>
      <c r="Y37" s="8">
        <f>1.31/19</f>
        <v>0.06894736842105263</v>
      </c>
      <c r="Z37" s="8">
        <f>0.235/19</f>
        <v>0.012368421052631579</v>
      </c>
      <c r="AA37" s="8">
        <f>0.118/19</f>
        <v>0.006210526315789474</v>
      </c>
    </row>
    <row r="38" spans="1:27" s="8" customFormat="1" ht="11.25">
      <c r="A38" s="8" t="s">
        <v>66</v>
      </c>
      <c r="C38" s="10">
        <v>0.03</v>
      </c>
      <c r="D38" s="10">
        <v>0.07</v>
      </c>
      <c r="E38" s="10">
        <v>0.05</v>
      </c>
      <c r="F38" s="10">
        <v>0.06</v>
      </c>
      <c r="G38" s="10">
        <v>0.03</v>
      </c>
      <c r="H38" s="10">
        <v>0.02</v>
      </c>
      <c r="I38" s="8">
        <f>0.8/19</f>
        <v>0.042105263157894736</v>
      </c>
      <c r="J38" s="8">
        <f>1.29/19</f>
        <v>0.06789473684210527</v>
      </c>
      <c r="K38" s="8">
        <f>0.5/19</f>
        <v>0.02631578947368421</v>
      </c>
      <c r="L38" s="8">
        <f>1.1/19</f>
        <v>0.05789473684210527</v>
      </c>
      <c r="M38" s="8">
        <f>1.44/19</f>
        <v>0.07578947368421052</v>
      </c>
      <c r="N38" s="8">
        <f>2.25/19</f>
        <v>0.11842105263157894</v>
      </c>
      <c r="O38" s="8">
        <f>1.5/19</f>
        <v>0.07894736842105263</v>
      </c>
      <c r="P38" s="8">
        <f>1.143/19</f>
        <v>0.060157894736842105</v>
      </c>
      <c r="Q38" s="8">
        <v>0</v>
      </c>
      <c r="R38" s="8">
        <v>0</v>
      </c>
      <c r="S38" s="8">
        <v>0</v>
      </c>
      <c r="T38" s="8">
        <v>0</v>
      </c>
      <c r="U38" s="8">
        <f>0.09/19</f>
        <v>0.004736842105263157</v>
      </c>
      <c r="V38" s="8">
        <f>0.42/19</f>
        <v>0.022105263157894735</v>
      </c>
      <c r="W38" s="8">
        <f>0.1/19</f>
        <v>0.005263157894736842</v>
      </c>
      <c r="X38" s="8">
        <v>0</v>
      </c>
      <c r="Y38" s="8">
        <f>0.08/19</f>
        <v>0.004210526315789474</v>
      </c>
      <c r="Z38" s="8">
        <v>0</v>
      </c>
      <c r="AA38" s="8">
        <f>0.059/19</f>
        <v>0.003105263157894737</v>
      </c>
    </row>
    <row r="39" spans="3:8" s="8" customFormat="1" ht="11.25">
      <c r="C39" s="10"/>
      <c r="D39" s="10"/>
      <c r="E39" s="10"/>
      <c r="F39" s="10"/>
      <c r="G39" s="10"/>
      <c r="H39" s="10"/>
    </row>
    <row r="41" spans="3:27" s="18" customFormat="1" ht="11.25">
      <c r="C41" s="41">
        <v>1984</v>
      </c>
      <c r="D41" s="41">
        <v>1985</v>
      </c>
      <c r="E41" s="41">
        <v>1986</v>
      </c>
      <c r="F41" s="41">
        <v>1987</v>
      </c>
      <c r="G41" s="41">
        <v>1988</v>
      </c>
      <c r="H41" s="41">
        <v>1989</v>
      </c>
      <c r="I41" s="18">
        <v>1990</v>
      </c>
      <c r="J41" s="18">
        <v>1991</v>
      </c>
      <c r="K41" s="18">
        <v>1992</v>
      </c>
      <c r="L41" s="18">
        <v>1993</v>
      </c>
      <c r="M41" s="18">
        <v>1994</v>
      </c>
      <c r="N41" s="18">
        <v>1995</v>
      </c>
      <c r="O41" s="18">
        <v>1996</v>
      </c>
      <c r="P41" s="18">
        <v>1997</v>
      </c>
      <c r="Q41" s="18">
        <v>1998</v>
      </c>
      <c r="R41" s="18">
        <v>1999</v>
      </c>
      <c r="S41" s="18">
        <v>2000</v>
      </c>
      <c r="T41" s="18">
        <v>2001</v>
      </c>
      <c r="U41" s="18">
        <v>2002</v>
      </c>
      <c r="V41" s="18">
        <v>2003</v>
      </c>
      <c r="W41" s="18">
        <v>2004</v>
      </c>
      <c r="X41" s="18">
        <v>2005</v>
      </c>
      <c r="Y41" s="18">
        <v>2006</v>
      </c>
      <c r="Z41" s="18">
        <v>2007</v>
      </c>
      <c r="AA41" s="18">
        <v>2008</v>
      </c>
    </row>
    <row r="42" spans="1:27" s="8" customFormat="1" ht="11.25">
      <c r="A42" s="8" t="s">
        <v>51</v>
      </c>
      <c r="C42" s="10">
        <v>0.07</v>
      </c>
      <c r="D42" s="10">
        <v>0.02</v>
      </c>
      <c r="E42" s="10">
        <v>0.05</v>
      </c>
      <c r="F42" s="10">
        <v>0</v>
      </c>
      <c r="G42" s="10">
        <v>0.01</v>
      </c>
      <c r="H42" s="10">
        <v>0</v>
      </c>
      <c r="I42" s="8">
        <f>0</f>
        <v>0</v>
      </c>
      <c r="J42" s="8">
        <v>0</v>
      </c>
      <c r="K42" s="8">
        <f>0.5/19</f>
        <v>0.02631578947368421</v>
      </c>
      <c r="L42" s="8">
        <v>0</v>
      </c>
      <c r="M42" s="8">
        <f>0.25/19</f>
        <v>0.013157894736842105</v>
      </c>
      <c r="N42" s="8">
        <f>0.375/19</f>
        <v>0.019736842105263157</v>
      </c>
      <c r="O42" s="8">
        <f>1/19</f>
        <v>0.05263157894736842</v>
      </c>
      <c r="P42" s="8">
        <f>1.214/19</f>
        <v>0.06389473684210527</v>
      </c>
      <c r="Q42" s="8">
        <f>0.167/19</f>
        <v>0.008789473684210528</v>
      </c>
      <c r="R42" s="8">
        <f>0.909/19</f>
        <v>0.047842105263157894</v>
      </c>
      <c r="S42" s="8">
        <f>0.33/19</f>
        <v>0.017368421052631578</v>
      </c>
      <c r="T42" s="8">
        <f>1/19</f>
        <v>0.05263157894736842</v>
      </c>
      <c r="U42" s="8">
        <f>0.455/19</f>
        <v>0.023947368421052634</v>
      </c>
      <c r="V42" s="8">
        <v>0</v>
      </c>
      <c r="W42" s="8">
        <f>0.15/19</f>
        <v>0.007894736842105263</v>
      </c>
      <c r="X42" s="8">
        <f>0.571/19</f>
        <v>0.030052631578947366</v>
      </c>
      <c r="Y42" s="8">
        <f>2.15/19</f>
        <v>0.1131578947368421</v>
      </c>
      <c r="Z42" s="8">
        <f>0.529/19</f>
        <v>0.027842105263157897</v>
      </c>
      <c r="AA42" s="8">
        <f>0.882/19</f>
        <v>0.046421052631578946</v>
      </c>
    </row>
    <row r="43" spans="1:27" s="8" customFormat="1" ht="11.25">
      <c r="A43" s="8" t="s">
        <v>78</v>
      </c>
      <c r="C43" s="10">
        <v>0.07</v>
      </c>
      <c r="D43" s="10">
        <v>0.08</v>
      </c>
      <c r="E43" s="10">
        <v>0.07</v>
      </c>
      <c r="F43" s="10">
        <v>0.03</v>
      </c>
      <c r="G43" s="10">
        <v>0.04</v>
      </c>
      <c r="H43" s="10">
        <v>0.08</v>
      </c>
      <c r="I43" s="8">
        <f>0.8/19</f>
        <v>0.042105263157894736</v>
      </c>
      <c r="J43" s="8">
        <f>1.29/19</f>
        <v>0.06789473684210527</v>
      </c>
      <c r="K43" s="8">
        <f>3.25/19</f>
        <v>0.17105263157894737</v>
      </c>
      <c r="L43" s="8">
        <f>2/19</f>
        <v>0.10526315789473684</v>
      </c>
      <c r="M43" s="8">
        <f>2/19</f>
        <v>0.10526315789473684</v>
      </c>
      <c r="N43" s="8">
        <f>2.25/19</f>
        <v>0.11842105263157894</v>
      </c>
      <c r="O43" s="8">
        <f>2.25/19</f>
        <v>0.11842105263157894</v>
      </c>
      <c r="P43" s="8">
        <f>3.214/19</f>
        <v>0.1691578947368421</v>
      </c>
      <c r="Q43" s="8">
        <f>4.17/19</f>
        <v>0.21947368421052632</v>
      </c>
      <c r="R43" s="8">
        <f>4.64/19</f>
        <v>0.24421052631578946</v>
      </c>
      <c r="S43" s="8">
        <f>2.7/19</f>
        <v>0.14210526315789473</v>
      </c>
      <c r="T43" s="8">
        <v>0.1721</v>
      </c>
      <c r="U43" s="8">
        <v>0.1195</v>
      </c>
      <c r="V43" s="8">
        <f>0.833/19</f>
        <v>0.04384210526315789</v>
      </c>
      <c r="W43" s="8">
        <f>1.45/19</f>
        <v>0.07631578947368421</v>
      </c>
      <c r="X43" s="8">
        <f>2/19</f>
        <v>0.10526315789473684</v>
      </c>
      <c r="Y43" s="8">
        <f>3.46/19</f>
        <v>0.18210526315789474</v>
      </c>
      <c r="Z43" s="8">
        <f>2.824/19</f>
        <v>0.14863157894736842</v>
      </c>
      <c r="AA43" s="8">
        <f>3/19</f>
        <v>0.15789473684210525</v>
      </c>
    </row>
    <row r="45" ht="13.5" thickBot="1"/>
    <row r="46" spans="26:28" s="43" customFormat="1" ht="11.25">
      <c r="Z46" s="42"/>
      <c r="AA46" s="42" t="s">
        <v>141</v>
      </c>
      <c r="AB46" s="42" t="s">
        <v>142</v>
      </c>
    </row>
    <row r="47" spans="26:28" s="43" customFormat="1" ht="11.25">
      <c r="Z47" s="44" t="s">
        <v>141</v>
      </c>
      <c r="AA47" s="44">
        <v>1</v>
      </c>
      <c r="AB47" s="44"/>
    </row>
    <row r="48" spans="26:28" s="43" customFormat="1" ht="12" thickBot="1">
      <c r="Z48" s="45" t="s">
        <v>142</v>
      </c>
      <c r="AA48" s="45">
        <v>0.4825568941445778</v>
      </c>
      <c r="AB48" s="45">
        <v>1</v>
      </c>
    </row>
    <row r="61" spans="1:27" s="8" customFormat="1" ht="11.25">
      <c r="A61" s="8" t="s">
        <v>50</v>
      </c>
      <c r="C61" s="10">
        <v>0</v>
      </c>
      <c r="D61" s="10">
        <v>0.1</v>
      </c>
      <c r="E61" s="10">
        <v>0.11</v>
      </c>
      <c r="F61" s="10">
        <v>0.01</v>
      </c>
      <c r="G61" s="10">
        <v>0.01</v>
      </c>
      <c r="H61" s="10">
        <v>0</v>
      </c>
      <c r="I61" s="8">
        <v>0</v>
      </c>
      <c r="J61" s="8">
        <f>1.14/19</f>
        <v>0.06</v>
      </c>
      <c r="K61" s="8">
        <f>0.8/19</f>
        <v>0.042105263157894736</v>
      </c>
      <c r="L61" s="8">
        <f>2.6/19</f>
        <v>0.1368421052631579</v>
      </c>
      <c r="M61" s="8">
        <f>2.38/19</f>
        <v>0.12526315789473683</v>
      </c>
      <c r="N61" s="8">
        <f>1.438/19</f>
        <v>0.07568421052631578</v>
      </c>
      <c r="O61" s="8">
        <f>1/19</f>
        <v>0.05263157894736842</v>
      </c>
      <c r="P61" s="8">
        <f>1.286/19</f>
        <v>0.06768421052631579</v>
      </c>
      <c r="Q61" s="8">
        <f>0.83/19</f>
        <v>0.04368421052631579</v>
      </c>
      <c r="R61" s="8">
        <f>1.091/19</f>
        <v>0.05742105263157895</v>
      </c>
      <c r="S61" s="8">
        <f>1/19</f>
        <v>0.05263157894736842</v>
      </c>
      <c r="T61" s="8">
        <f>1.455/19</f>
        <v>0.07657894736842105</v>
      </c>
      <c r="U61" s="8">
        <f>0.727/19</f>
        <v>0.03826315789473684</v>
      </c>
      <c r="V61" s="8">
        <f>2.25/19</f>
        <v>0.11842105263157894</v>
      </c>
      <c r="W61" s="8">
        <f>2.75/19</f>
        <v>0.14473684210526316</v>
      </c>
      <c r="X61" s="8">
        <f>2.143/19</f>
        <v>0.11278947368421051</v>
      </c>
      <c r="Y61" s="8">
        <f>1.77/19</f>
        <v>0.0931578947368421</v>
      </c>
      <c r="Z61" s="8">
        <f>1.235/19</f>
        <v>0.065</v>
      </c>
      <c r="AA61" s="8">
        <f>0.588/19</f>
        <v>0.03094736842105263</v>
      </c>
    </row>
    <row r="62" spans="1:27" s="8" customFormat="1" ht="11.25">
      <c r="A62" s="8" t="s">
        <v>77</v>
      </c>
      <c r="C62" s="8">
        <v>0</v>
      </c>
      <c r="D62" s="10">
        <v>0.23</v>
      </c>
      <c r="E62" s="10">
        <v>0.27</v>
      </c>
      <c r="F62" s="10">
        <v>0.06</v>
      </c>
      <c r="G62" s="10">
        <v>0.05</v>
      </c>
      <c r="H62" s="10">
        <v>0.08</v>
      </c>
      <c r="I62" s="8">
        <f>1/19</f>
        <v>0.05263157894736842</v>
      </c>
      <c r="J62" s="8">
        <f>1/19</f>
        <v>0.05263157894736842</v>
      </c>
      <c r="K62" s="8">
        <f>2/19</f>
        <v>0.10526315789473684</v>
      </c>
      <c r="L62" s="8">
        <f>3.2/19</f>
        <v>0.16842105263157894</v>
      </c>
      <c r="M62" s="8">
        <f>2.31/19</f>
        <v>0.12157894736842105</v>
      </c>
      <c r="N62" s="8">
        <f>1.88/19</f>
        <v>0.09894736842105263</v>
      </c>
      <c r="O62" s="8">
        <f>1.38/19</f>
        <v>0.07263157894736842</v>
      </c>
      <c r="P62" s="8">
        <f>1.93/19</f>
        <v>0.10157894736842105</v>
      </c>
      <c r="Q62" s="8">
        <f>1/19</f>
        <v>0.05263157894736842</v>
      </c>
      <c r="R62" s="8">
        <f>0.82/19</f>
        <v>0.0431578947368421</v>
      </c>
      <c r="S62" s="8">
        <f>0.33/19</f>
        <v>0.017368421052631578</v>
      </c>
      <c r="T62" s="8">
        <f>0.55/19</f>
        <v>0.028947368421052635</v>
      </c>
      <c r="U62" s="8">
        <f>0.46/19</f>
        <v>0.024210526315789474</v>
      </c>
      <c r="V62" s="8">
        <f>2.25/19</f>
        <v>0.11842105263157894</v>
      </c>
      <c r="W62" s="8">
        <f>0.85/19</f>
        <v>0.04473684210526316</v>
      </c>
      <c r="X62" s="8">
        <f>0.57/19</f>
        <v>0.03</v>
      </c>
      <c r="Y62" s="8">
        <f>1.31/19</f>
        <v>0.06894736842105263</v>
      </c>
      <c r="Z62" s="8">
        <f>0.235/19</f>
        <v>0.012368421052631579</v>
      </c>
      <c r="AA62" s="8">
        <f>0.118/19</f>
        <v>0.006210526315789474</v>
      </c>
    </row>
    <row r="65" ht="13.5" thickBot="1"/>
    <row r="66" spans="13:15" s="43" customFormat="1" ht="11.25">
      <c r="M66" s="42"/>
      <c r="N66" s="42" t="s">
        <v>141</v>
      </c>
      <c r="O66" s="42" t="s">
        <v>142</v>
      </c>
    </row>
    <row r="67" spans="13:15" s="43" customFormat="1" ht="11.25">
      <c r="M67" s="44"/>
      <c r="N67" s="44">
        <v>1</v>
      </c>
      <c r="O67" s="44"/>
    </row>
    <row r="68" spans="13:15" s="43" customFormat="1" ht="12" thickBot="1">
      <c r="M68" s="45" t="s">
        <v>142</v>
      </c>
      <c r="N68" s="45">
        <v>0.4650233785367722</v>
      </c>
      <c r="O68" s="45">
        <v>1</v>
      </c>
    </row>
  </sheetData>
  <printOptions gridLines="1"/>
  <pageMargins left="0.75" right="0.75" top="1" bottom="1" header="0.5" footer="0.5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1"/>
  <sheetViews>
    <sheetView workbookViewId="0" topLeftCell="C29">
      <selection activeCell="X56" sqref="X56"/>
    </sheetView>
  </sheetViews>
  <sheetFormatPr defaultColWidth="9.140625" defaultRowHeight="12.75"/>
  <cols>
    <col min="1" max="16384" width="6.28125" style="11" customWidth="1"/>
  </cols>
  <sheetData>
    <row r="1" ht="11.25">
      <c r="A1" s="15" t="s">
        <v>86</v>
      </c>
    </row>
    <row r="2" spans="1:24" s="18" customFormat="1" ht="11.25">
      <c r="A2" s="18" t="s">
        <v>0</v>
      </c>
      <c r="C2" s="18">
        <v>1990</v>
      </c>
      <c r="D2" s="18">
        <v>1991</v>
      </c>
      <c r="E2" s="18">
        <v>1992</v>
      </c>
      <c r="F2" s="18">
        <v>1993</v>
      </c>
      <c r="G2" s="18">
        <v>1994</v>
      </c>
      <c r="H2" s="18">
        <v>1995</v>
      </c>
      <c r="I2" s="18">
        <v>1996</v>
      </c>
      <c r="J2" s="18">
        <v>1997</v>
      </c>
      <c r="K2" s="18">
        <v>1998</v>
      </c>
      <c r="L2" s="18">
        <v>1999</v>
      </c>
      <c r="M2" s="18">
        <v>2000</v>
      </c>
      <c r="N2" s="18">
        <v>2001</v>
      </c>
      <c r="O2" s="18">
        <v>2002</v>
      </c>
      <c r="P2" s="18">
        <v>2003</v>
      </c>
      <c r="Q2" s="18">
        <v>2004</v>
      </c>
      <c r="R2" s="18">
        <v>2005</v>
      </c>
      <c r="S2" s="18">
        <v>2006</v>
      </c>
      <c r="T2" s="19">
        <v>2007</v>
      </c>
      <c r="U2" s="19">
        <v>2008</v>
      </c>
      <c r="V2" s="18">
        <v>2009</v>
      </c>
      <c r="W2" s="18">
        <v>2010</v>
      </c>
      <c r="X2" s="18">
        <v>2011</v>
      </c>
    </row>
    <row r="3" spans="1:24" s="8" customFormat="1" ht="11.25">
      <c r="A3" s="8" t="s">
        <v>50</v>
      </c>
      <c r="C3" s="8">
        <v>0.76</v>
      </c>
      <c r="D3" s="8">
        <v>0.108</v>
      </c>
      <c r="E3" s="8">
        <v>0.098</v>
      </c>
      <c r="F3" s="8" t="s">
        <v>14</v>
      </c>
      <c r="G3" s="8">
        <v>0.137</v>
      </c>
      <c r="H3" s="8">
        <v>0.135</v>
      </c>
      <c r="I3" s="8">
        <v>0.092</v>
      </c>
      <c r="J3" s="8">
        <v>0.079</v>
      </c>
      <c r="K3" s="8">
        <v>0.067</v>
      </c>
      <c r="L3" s="8">
        <v>0.069</v>
      </c>
      <c r="M3" s="8">
        <v>0.058</v>
      </c>
      <c r="N3" s="8">
        <v>0.079</v>
      </c>
      <c r="O3" s="8">
        <v>0.144</v>
      </c>
      <c r="P3" s="8">
        <v>0.142</v>
      </c>
      <c r="Q3" s="8">
        <v>0.184</v>
      </c>
      <c r="R3" s="8">
        <v>0.109</v>
      </c>
      <c r="S3" s="8">
        <f>5.47/43.5</f>
        <v>0.1257471264367816</v>
      </c>
      <c r="T3" s="9">
        <f>3.55/43.5</f>
        <v>0.08160919540229884</v>
      </c>
      <c r="U3" s="8">
        <f>1.431/43.5</f>
        <v>0.03289655172413793</v>
      </c>
      <c r="V3" s="8">
        <f>1.85/43.5</f>
        <v>0.04252873563218391</v>
      </c>
      <c r="W3" s="49">
        <f>0.794/43.5</f>
        <v>0.01825287356321839</v>
      </c>
      <c r="X3" s="8">
        <f>2.958/43.5</f>
        <v>0.068</v>
      </c>
    </row>
    <row r="4" spans="1:24" s="8" customFormat="1" ht="11.25">
      <c r="A4" s="8" t="s">
        <v>51</v>
      </c>
      <c r="C4" s="8">
        <v>0.017</v>
      </c>
      <c r="D4" s="8">
        <v>0.046</v>
      </c>
      <c r="E4" s="8">
        <v>0.034</v>
      </c>
      <c r="F4" s="8" t="s">
        <v>14</v>
      </c>
      <c r="G4" s="8">
        <v>0.012</v>
      </c>
      <c r="H4" s="8">
        <v>0.014</v>
      </c>
      <c r="I4" s="8">
        <v>0.032</v>
      </c>
      <c r="J4" s="8">
        <v>0.028</v>
      </c>
      <c r="K4" s="8">
        <v>0.017</v>
      </c>
      <c r="L4" s="8">
        <v>0.06</v>
      </c>
      <c r="M4" s="8">
        <v>0.036</v>
      </c>
      <c r="N4" s="8">
        <v>0.048</v>
      </c>
      <c r="O4" s="8">
        <v>0.033</v>
      </c>
      <c r="P4" s="8">
        <v>0.029</v>
      </c>
      <c r="Q4" s="8">
        <v>0.064</v>
      </c>
      <c r="R4" s="8">
        <v>0.059</v>
      </c>
      <c r="S4" s="8">
        <f>2.95/43.5</f>
        <v>0.067816091954023</v>
      </c>
      <c r="T4" s="9">
        <f>0.29/43.5</f>
        <v>0.006666666666666666</v>
      </c>
      <c r="U4" s="8">
        <f>0.789/43.5</f>
        <v>0.01813793103448276</v>
      </c>
      <c r="V4" s="8">
        <f>1.683/43.5</f>
        <v>0.038689655172413795</v>
      </c>
      <c r="W4" s="8">
        <f>0.704/43.5</f>
        <v>0.01618390804597701</v>
      </c>
      <c r="X4" s="8">
        <f>1.083/43.5</f>
        <v>0.02489655172413793</v>
      </c>
    </row>
    <row r="5" spans="1:24" s="8" customFormat="1" ht="11.25">
      <c r="A5" s="8" t="s">
        <v>76</v>
      </c>
      <c r="C5" s="8">
        <v>0.131</v>
      </c>
      <c r="D5" s="8">
        <v>0.163</v>
      </c>
      <c r="E5" s="8">
        <v>0.264</v>
      </c>
      <c r="F5" s="8" t="s">
        <v>14</v>
      </c>
      <c r="G5" s="8">
        <v>0.126</v>
      </c>
      <c r="H5" s="8">
        <v>0.13</v>
      </c>
      <c r="I5" s="8">
        <v>0.203</v>
      </c>
      <c r="J5" s="8">
        <v>0.243</v>
      </c>
      <c r="K5" s="8">
        <v>0.189</v>
      </c>
      <c r="L5" s="8">
        <v>0.232</v>
      </c>
      <c r="M5" s="8">
        <v>0.269</v>
      </c>
      <c r="N5" s="8">
        <v>0.258</v>
      </c>
      <c r="O5" s="8">
        <v>0.292</v>
      </c>
      <c r="P5" s="8">
        <v>0.291</v>
      </c>
      <c r="Q5" s="8">
        <v>0.235</v>
      </c>
      <c r="R5" s="8">
        <v>0.269</v>
      </c>
      <c r="S5" s="8">
        <f>16.36/43.5</f>
        <v>0.3760919540229885</v>
      </c>
      <c r="T5" s="9">
        <f>19.75/43.5</f>
        <v>0.4540229885057471</v>
      </c>
      <c r="U5" s="8">
        <f>17.152/43.5</f>
        <v>0.39429885057471264</v>
      </c>
      <c r="V5" s="8">
        <f>14.183/43.5</f>
        <v>0.32604597701149424</v>
      </c>
      <c r="W5" s="8">
        <f>12.144/43.5</f>
        <v>0.2791724137931034</v>
      </c>
      <c r="X5" s="8">
        <f>15.377/43.5</f>
        <v>0.35349425287356323</v>
      </c>
    </row>
    <row r="6" spans="1:24" s="8" customFormat="1" ht="11.25">
      <c r="A6" s="8" t="s">
        <v>77</v>
      </c>
      <c r="C6" s="8">
        <v>0.119</v>
      </c>
      <c r="D6" s="8">
        <v>0.156</v>
      </c>
      <c r="E6" s="8">
        <v>0.218</v>
      </c>
      <c r="F6" s="8" t="s">
        <v>14</v>
      </c>
      <c r="G6" s="8">
        <v>0.108</v>
      </c>
      <c r="H6" s="8">
        <v>0.088</v>
      </c>
      <c r="I6" s="8">
        <v>0.075</v>
      </c>
      <c r="J6" s="8">
        <v>0.071</v>
      </c>
      <c r="K6" s="8">
        <v>0.045</v>
      </c>
      <c r="L6" s="8">
        <v>0.03</v>
      </c>
      <c r="M6" s="8">
        <v>0.023</v>
      </c>
      <c r="N6" s="8">
        <v>0.07</v>
      </c>
      <c r="O6" s="8">
        <v>0.065</v>
      </c>
      <c r="P6" s="8">
        <v>0.065</v>
      </c>
      <c r="Q6" s="8">
        <v>0.046</v>
      </c>
      <c r="R6" s="8">
        <v>0.056</v>
      </c>
      <c r="S6" s="8">
        <f>1.43/43.5</f>
        <v>0.0328735632183908</v>
      </c>
      <c r="T6" s="9">
        <f>0.75/43.5</f>
        <v>0.017241379310344827</v>
      </c>
      <c r="U6" s="8">
        <f>0.241/43.5</f>
        <v>0.005540229885057471</v>
      </c>
      <c r="V6" s="8">
        <f>0.15/43.5</f>
        <v>0.0034482758620689655</v>
      </c>
      <c r="W6" s="8">
        <f>1.09/43.5</f>
        <v>0.025057471264367817</v>
      </c>
      <c r="X6" s="8">
        <f>0.732/43.5</f>
        <v>0.01682758620689655</v>
      </c>
    </row>
    <row r="7" spans="1:24" s="8" customFormat="1" ht="11.25">
      <c r="A7" s="8" t="s">
        <v>66</v>
      </c>
      <c r="C7" s="8">
        <v>0.127</v>
      </c>
      <c r="D7" s="8">
        <v>0.122</v>
      </c>
      <c r="E7" s="8">
        <v>0.04</v>
      </c>
      <c r="F7" s="8" t="s">
        <v>14</v>
      </c>
      <c r="G7" s="8">
        <v>0.042</v>
      </c>
      <c r="H7" s="8">
        <v>0.048</v>
      </c>
      <c r="I7" s="8">
        <v>0.05</v>
      </c>
      <c r="J7" s="8">
        <v>0.077</v>
      </c>
      <c r="K7" s="8">
        <v>0.038</v>
      </c>
      <c r="L7" s="8">
        <v>0.037</v>
      </c>
      <c r="M7" s="8">
        <v>0.02</v>
      </c>
      <c r="N7" s="8">
        <v>0.064</v>
      </c>
      <c r="O7" s="8">
        <v>0.05</v>
      </c>
      <c r="P7" s="8">
        <v>0.043</v>
      </c>
      <c r="Q7" s="8">
        <v>0.017</v>
      </c>
      <c r="R7" s="8">
        <v>0.008</v>
      </c>
      <c r="S7" s="8">
        <f>0.49/43.5</f>
        <v>0.011264367816091954</v>
      </c>
      <c r="T7" s="9">
        <f>0.11/43.5</f>
        <v>0.002528735632183908</v>
      </c>
      <c r="U7" s="8">
        <f>0.297/43.5</f>
        <v>0.006827586206896551</v>
      </c>
      <c r="V7" s="8">
        <f>0.183/43.5</f>
        <v>0.004206896551724138</v>
      </c>
      <c r="W7" s="8">
        <f>0.481/43.5</f>
        <v>0.011057471264367815</v>
      </c>
      <c r="X7" s="8">
        <f>0.314/43.5</f>
        <v>0.007218390804597701</v>
      </c>
    </row>
    <row r="8" spans="1:24" s="8" customFormat="1" ht="11.25">
      <c r="A8" s="8" t="s">
        <v>53</v>
      </c>
      <c r="C8" s="8">
        <v>0.015</v>
      </c>
      <c r="D8" s="8">
        <v>0.034</v>
      </c>
      <c r="E8" s="8">
        <v>0.034</v>
      </c>
      <c r="F8" s="8" t="s">
        <v>14</v>
      </c>
      <c r="G8" s="8">
        <v>0.11</v>
      </c>
      <c r="H8" s="8">
        <v>0.041</v>
      </c>
      <c r="I8" s="8">
        <v>0.04</v>
      </c>
      <c r="J8" s="8">
        <v>0.051</v>
      </c>
      <c r="K8" s="8">
        <v>0.048</v>
      </c>
      <c r="L8" s="8">
        <v>0.055</v>
      </c>
      <c r="M8" s="8">
        <v>0.023</v>
      </c>
      <c r="N8" s="8">
        <v>0.049</v>
      </c>
      <c r="O8" s="8">
        <v>0.098</v>
      </c>
      <c r="P8" s="8">
        <v>0.047</v>
      </c>
      <c r="Q8" s="8">
        <v>0.232</v>
      </c>
      <c r="R8" s="8">
        <v>0.03</v>
      </c>
      <c r="S8" s="8">
        <f>2.16/43.5</f>
        <v>0.04965517241379311</v>
      </c>
      <c r="T8" s="9">
        <f>0.68/43.5</f>
        <v>0.01563218390804598</v>
      </c>
      <c r="U8" s="8">
        <f>0.886/43.5</f>
        <v>0.020367816091954025</v>
      </c>
      <c r="V8" s="8">
        <f>0.6/43.5</f>
        <v>0.013793103448275862</v>
      </c>
      <c r="W8" s="8">
        <f>0.587/43.5</f>
        <v>0.013494252873563218</v>
      </c>
      <c r="X8" s="8">
        <f>0.772/43.5</f>
        <v>0.01774712643678161</v>
      </c>
    </row>
    <row r="9" spans="1:24" s="8" customFormat="1" ht="11.25">
      <c r="A9" s="8" t="s">
        <v>78</v>
      </c>
      <c r="C9" s="8" t="s">
        <v>79</v>
      </c>
      <c r="D9" s="8">
        <v>0.11</v>
      </c>
      <c r="E9" s="8">
        <v>0.109</v>
      </c>
      <c r="F9" s="8" t="s">
        <v>14</v>
      </c>
      <c r="G9" s="8">
        <v>0.085</v>
      </c>
      <c r="H9" s="8">
        <v>0.089</v>
      </c>
      <c r="I9" s="8">
        <v>0.085</v>
      </c>
      <c r="J9" s="8">
        <v>0.12</v>
      </c>
      <c r="K9" s="8">
        <v>0.137</v>
      </c>
      <c r="L9" s="8">
        <v>0.172</v>
      </c>
      <c r="M9" s="8">
        <v>0.166</v>
      </c>
      <c r="N9" s="8">
        <v>0.221</v>
      </c>
      <c r="O9" s="8">
        <v>0.217</v>
      </c>
      <c r="P9" s="8">
        <v>0.144</v>
      </c>
      <c r="Q9" s="8">
        <v>0.153</v>
      </c>
      <c r="R9" s="8">
        <v>0.177</v>
      </c>
      <c r="S9" s="8">
        <f>11.41/43.5</f>
        <v>0.26229885057471264</v>
      </c>
      <c r="T9" s="9">
        <f>11.05/43.5</f>
        <v>0.2540229885057471</v>
      </c>
      <c r="U9" s="8">
        <f>6.852/43.5</f>
        <v>0.15751724137931036</v>
      </c>
      <c r="V9" s="8">
        <f>9.133/43.5</f>
        <v>0.20995402298850574</v>
      </c>
      <c r="W9" s="8">
        <f>6.03/43.5</f>
        <v>0.1386206896551724</v>
      </c>
      <c r="X9" s="8">
        <f>6.134/43.5</f>
        <v>0.14101149425287357</v>
      </c>
    </row>
    <row r="10" spans="1:24" s="8" customFormat="1" ht="11.25">
      <c r="A10" s="8" t="s">
        <v>54</v>
      </c>
      <c r="C10" s="8">
        <v>0.007</v>
      </c>
      <c r="D10" s="8">
        <v>0.009</v>
      </c>
      <c r="E10" s="8">
        <v>0</v>
      </c>
      <c r="F10" s="8" t="s">
        <v>14</v>
      </c>
      <c r="G10" s="8">
        <v>0.003</v>
      </c>
      <c r="H10" s="8">
        <v>0.006</v>
      </c>
      <c r="I10" s="8">
        <v>0.004</v>
      </c>
      <c r="J10" s="8">
        <v>0.003</v>
      </c>
      <c r="K10" s="8">
        <v>0.008</v>
      </c>
      <c r="L10" s="8">
        <v>0.005</v>
      </c>
      <c r="M10" s="8">
        <v>0.007</v>
      </c>
      <c r="N10" s="8">
        <v>0.008</v>
      </c>
      <c r="O10" s="8">
        <v>0.013</v>
      </c>
      <c r="P10" s="8">
        <v>0.009</v>
      </c>
      <c r="Q10" s="8">
        <v>0.038</v>
      </c>
      <c r="R10" s="8">
        <v>0.002</v>
      </c>
      <c r="S10" s="8">
        <f>0.25/43.5</f>
        <v>0.005747126436781609</v>
      </c>
      <c r="T10" s="9">
        <f>0.09/43.5</f>
        <v>0.0020689655172413794</v>
      </c>
      <c r="U10" s="8">
        <f>0.164/43.5</f>
        <v>0.003770114942528736</v>
      </c>
      <c r="V10" s="8">
        <f>0.2/43.5</f>
        <v>0.004597701149425287</v>
      </c>
      <c r="W10" s="8">
        <f>0.037/43.5</f>
        <v>0.0008505747126436781</v>
      </c>
      <c r="X10" s="8">
        <f>0.167/43.5</f>
        <v>0.003839080459770115</v>
      </c>
    </row>
    <row r="11" spans="1:24" s="8" customFormat="1" ht="11.25">
      <c r="A11" s="8" t="s">
        <v>24</v>
      </c>
      <c r="C11" s="8">
        <f>25.48/43.5</f>
        <v>0.5857471264367816</v>
      </c>
      <c r="D11" s="8">
        <f>33.1/43.5</f>
        <v>0.7609195402298851</v>
      </c>
      <c r="E11" s="8">
        <f>34.75/43.5</f>
        <v>0.7988505747126436</v>
      </c>
      <c r="F11" s="8" t="s">
        <v>14</v>
      </c>
      <c r="G11" s="8">
        <f>29.19/43.5</f>
        <v>0.6710344827586208</v>
      </c>
      <c r="H11" s="8">
        <f>26/43.5</f>
        <v>0.5977011494252874</v>
      </c>
      <c r="I11" s="8">
        <f>27.313/43.5</f>
        <v>0.6278850574712643</v>
      </c>
      <c r="J11" s="8">
        <f>32.776/43.5</f>
        <v>0.7534712643678162</v>
      </c>
      <c r="K11" s="8">
        <f>25.5/43.5</f>
        <v>0.5862068965517241</v>
      </c>
      <c r="L11" s="8">
        <f>30.7/43.5</f>
        <v>0.7057471264367816</v>
      </c>
      <c r="M11" s="8">
        <f>28.422/43.5</f>
        <v>0.6533793103448275</v>
      </c>
      <c r="N11" s="8">
        <f>38.118/43.5</f>
        <v>0.8762758620689656</v>
      </c>
      <c r="O11" s="8">
        <f>44.497/43.5</f>
        <v>1.022919540229885</v>
      </c>
      <c r="P11" s="8">
        <f>37.196/43.5</f>
        <v>0.8550804597701149</v>
      </c>
      <c r="Q11" s="8">
        <f>37.843/43.5</f>
        <v>0.8699540229885059</v>
      </c>
      <c r="R11" s="8">
        <f>33.999/43.5</f>
        <v>0.7815862068965518</v>
      </c>
      <c r="S11" s="8">
        <f>44.17/43.5</f>
        <v>1.0154022988505746</v>
      </c>
      <c r="T11" s="9">
        <f>37.66/43.5</f>
        <v>0.8657471264367815</v>
      </c>
      <c r="U11" s="8">
        <f>29.642/43.5</f>
        <v>0.6814252873563218</v>
      </c>
      <c r="V11" s="8">
        <f>30.983/43.5</f>
        <v>0.7122528735632184</v>
      </c>
      <c r="W11" s="8">
        <f>23.443/43.5</f>
        <v>0.5389195402298851</v>
      </c>
      <c r="X11" s="8">
        <f>30/43.5</f>
        <v>0.6896551724137931</v>
      </c>
    </row>
    <row r="13" ht="11.25">
      <c r="A13" s="15" t="s">
        <v>85</v>
      </c>
    </row>
    <row r="14" spans="1:24" s="18" customFormat="1" ht="11.25">
      <c r="A14" s="18" t="s">
        <v>0</v>
      </c>
      <c r="C14" s="18">
        <v>1990</v>
      </c>
      <c r="D14" s="18">
        <v>1991</v>
      </c>
      <c r="E14" s="18">
        <v>1992</v>
      </c>
      <c r="F14" s="18">
        <v>1993</v>
      </c>
      <c r="G14" s="18">
        <v>1994</v>
      </c>
      <c r="H14" s="18">
        <v>1995</v>
      </c>
      <c r="I14" s="18">
        <v>1996</v>
      </c>
      <c r="J14" s="18">
        <v>1997</v>
      </c>
      <c r="K14" s="18">
        <v>1998</v>
      </c>
      <c r="L14" s="18">
        <v>1999</v>
      </c>
      <c r="M14" s="18">
        <v>2000</v>
      </c>
      <c r="N14" s="18">
        <v>2001</v>
      </c>
      <c r="O14" s="18">
        <v>2002</v>
      </c>
      <c r="P14" s="18">
        <v>2003</v>
      </c>
      <c r="Q14" s="18">
        <v>2004</v>
      </c>
      <c r="R14" s="18">
        <v>2005</v>
      </c>
      <c r="S14" s="18">
        <v>2006</v>
      </c>
      <c r="T14" s="18">
        <v>2007</v>
      </c>
      <c r="U14" s="18">
        <v>2008</v>
      </c>
      <c r="V14" s="18">
        <v>2009</v>
      </c>
      <c r="W14" s="18">
        <v>2010</v>
      </c>
      <c r="X14" s="18">
        <v>2011</v>
      </c>
    </row>
    <row r="15" spans="1:24" s="8" customFormat="1" ht="11.25">
      <c r="A15" s="8" t="s">
        <v>50</v>
      </c>
      <c r="C15" s="8">
        <v>0</v>
      </c>
      <c r="D15" s="8">
        <f>1.14/19</f>
        <v>0.06</v>
      </c>
      <c r="E15" s="8">
        <f>0.8/19</f>
        <v>0.042105263157894736</v>
      </c>
      <c r="F15" s="8">
        <f>2.6/19</f>
        <v>0.1368421052631579</v>
      </c>
      <c r="G15" s="8">
        <f>2.38/19</f>
        <v>0.12526315789473683</v>
      </c>
      <c r="H15" s="8">
        <f>1.438/19</f>
        <v>0.07568421052631578</v>
      </c>
      <c r="I15" s="8">
        <f>1/19</f>
        <v>0.05263157894736842</v>
      </c>
      <c r="J15" s="8">
        <f>1.286/19</f>
        <v>0.06768421052631579</v>
      </c>
      <c r="K15" s="8">
        <f>0.83/19</f>
        <v>0.04368421052631579</v>
      </c>
      <c r="L15" s="8">
        <f>1.091/19</f>
        <v>0.05742105263157895</v>
      </c>
      <c r="M15" s="8">
        <f>1/19</f>
        <v>0.05263157894736842</v>
      </c>
      <c r="N15" s="8">
        <f>1.455/19</f>
        <v>0.07657894736842105</v>
      </c>
      <c r="O15" s="8">
        <f>0.727/19</f>
        <v>0.03826315789473684</v>
      </c>
      <c r="P15" s="8">
        <f>2.25/19</f>
        <v>0.11842105263157894</v>
      </c>
      <c r="Q15" s="8">
        <f>2.75/19</f>
        <v>0.14473684210526316</v>
      </c>
      <c r="R15" s="8">
        <f>2.143/19</f>
        <v>0.11278947368421051</v>
      </c>
      <c r="S15" s="8">
        <f>1.77/19</f>
        <v>0.0931578947368421</v>
      </c>
      <c r="T15" s="8">
        <f>1.235/19</f>
        <v>0.065</v>
      </c>
      <c r="U15" s="8">
        <f>0.588/19</f>
        <v>0.03094736842105263</v>
      </c>
      <c r="V15" s="8">
        <f>0.8/19</f>
        <v>0.042105263157894736</v>
      </c>
      <c r="W15" s="8">
        <f>0.579/19</f>
        <v>0.030473684210526313</v>
      </c>
      <c r="X15" s="8">
        <f>0.886/19</f>
        <v>0.04663157894736842</v>
      </c>
    </row>
    <row r="16" spans="1:24" s="8" customFormat="1" ht="11.25">
      <c r="A16" s="8" t="s">
        <v>51</v>
      </c>
      <c r="C16" s="8">
        <f>0</f>
        <v>0</v>
      </c>
      <c r="D16" s="8">
        <v>0</v>
      </c>
      <c r="E16" s="8">
        <f>0.5/19</f>
        <v>0.02631578947368421</v>
      </c>
      <c r="F16" s="8">
        <v>0</v>
      </c>
      <c r="G16" s="8">
        <f>0.25/19</f>
        <v>0.013157894736842105</v>
      </c>
      <c r="H16" s="8">
        <f>0.375/19</f>
        <v>0.019736842105263157</v>
      </c>
      <c r="I16" s="8">
        <f>1/19</f>
        <v>0.05263157894736842</v>
      </c>
      <c r="J16" s="8">
        <f>1.214/19</f>
        <v>0.06389473684210527</v>
      </c>
      <c r="K16" s="8">
        <f>0.167/19</f>
        <v>0.008789473684210528</v>
      </c>
      <c r="L16" s="8">
        <f>0.909/19</f>
        <v>0.047842105263157894</v>
      </c>
      <c r="M16" s="8">
        <f>0.33/19</f>
        <v>0.017368421052631578</v>
      </c>
      <c r="N16" s="8">
        <f>1/19</f>
        <v>0.05263157894736842</v>
      </c>
      <c r="O16" s="8">
        <f>0.455/19</f>
        <v>0.023947368421052634</v>
      </c>
      <c r="P16" s="8">
        <v>0</v>
      </c>
      <c r="Q16" s="8">
        <f>0.15/19</f>
        <v>0.007894736842105263</v>
      </c>
      <c r="R16" s="8">
        <f>0.571/19</f>
        <v>0.030052631578947366</v>
      </c>
      <c r="S16" s="8">
        <f>2.15/19</f>
        <v>0.1131578947368421</v>
      </c>
      <c r="T16" s="8">
        <f>0.529/19</f>
        <v>0.027842105263157897</v>
      </c>
      <c r="U16" s="8">
        <f>0.882/19</f>
        <v>0.046421052631578946</v>
      </c>
      <c r="V16" s="8">
        <f>0.52/19</f>
        <v>0.02736842105263158</v>
      </c>
      <c r="W16" s="8">
        <f>0.368/19</f>
        <v>0.01936842105263158</v>
      </c>
      <c r="X16" s="8">
        <f>0.286/19</f>
        <v>0.015052631578947368</v>
      </c>
    </row>
    <row r="17" spans="1:24" s="8" customFormat="1" ht="11.25">
      <c r="A17" s="8" t="s">
        <v>76</v>
      </c>
      <c r="C17" s="8">
        <f>2.8/19</f>
        <v>0.14736842105263157</v>
      </c>
      <c r="D17" s="8">
        <f>2.14/19</f>
        <v>0.11263157894736843</v>
      </c>
      <c r="E17" s="8">
        <f>5.75/19</f>
        <v>0.3026315789473684</v>
      </c>
      <c r="F17" s="8">
        <f>4.6/19</f>
        <v>0.2421052631578947</v>
      </c>
      <c r="G17" s="8">
        <f>3.75/19</f>
        <v>0.19736842105263158</v>
      </c>
      <c r="H17" s="8">
        <f>3.69/19</f>
        <v>0.19421052631578947</v>
      </c>
      <c r="I17" s="8">
        <f>8.13/19</f>
        <v>0.4278947368421053</v>
      </c>
      <c r="J17" s="8">
        <f>6.5/19</f>
        <v>0.34210526315789475</v>
      </c>
      <c r="K17" s="8">
        <f>5.5/19</f>
        <v>0.2894736842105263</v>
      </c>
      <c r="L17" s="8">
        <f>5/19</f>
        <v>0.2631578947368421</v>
      </c>
      <c r="M17" s="8">
        <f>5.89/19</f>
        <v>0.31</v>
      </c>
      <c r="N17" s="8">
        <f>5.82/19</f>
        <v>0.3063157894736842</v>
      </c>
      <c r="O17" s="8">
        <f>6.27/19</f>
        <v>0.32999999999999996</v>
      </c>
      <c r="P17" s="8">
        <f>6.83/19</f>
        <v>0.35947368421052633</v>
      </c>
      <c r="Q17" s="8">
        <f>4.95/19</f>
        <v>0.2605263157894737</v>
      </c>
      <c r="R17" s="8">
        <f>6.79/19</f>
        <v>0.35736842105263156</v>
      </c>
      <c r="S17" s="8">
        <f>9.15/19</f>
        <v>0.48157894736842105</v>
      </c>
      <c r="T17" s="8">
        <f>6.118/19</f>
        <v>0.322</v>
      </c>
      <c r="U17" s="8">
        <f>6.824/19</f>
        <v>0.3591578947368421</v>
      </c>
      <c r="V17" s="8">
        <f>4.84/19</f>
        <v>0.25473684210526315</v>
      </c>
      <c r="W17" s="8">
        <f>4.316/19</f>
        <v>0.2271578947368421</v>
      </c>
      <c r="X17" s="8">
        <f>4.657/19</f>
        <v>0.24510526315789474</v>
      </c>
    </row>
    <row r="18" spans="1:24" s="8" customFormat="1" ht="11.25">
      <c r="A18" s="8" t="s">
        <v>77</v>
      </c>
      <c r="C18" s="8">
        <f>1/19</f>
        <v>0.05263157894736842</v>
      </c>
      <c r="D18" s="8">
        <f>1/19</f>
        <v>0.05263157894736842</v>
      </c>
      <c r="E18" s="8">
        <f>2/19</f>
        <v>0.10526315789473684</v>
      </c>
      <c r="F18" s="8">
        <f>3.2/19</f>
        <v>0.16842105263157894</v>
      </c>
      <c r="G18" s="8">
        <f>2.31/19</f>
        <v>0.12157894736842105</v>
      </c>
      <c r="H18" s="8">
        <f>1.88/19</f>
        <v>0.09894736842105263</v>
      </c>
      <c r="I18" s="8">
        <f>1.38/19</f>
        <v>0.07263157894736842</v>
      </c>
      <c r="J18" s="8">
        <f>1.93/19</f>
        <v>0.10157894736842105</v>
      </c>
      <c r="K18" s="8">
        <f>1/19</f>
        <v>0.05263157894736842</v>
      </c>
      <c r="L18" s="8">
        <f>0.82/19</f>
        <v>0.0431578947368421</v>
      </c>
      <c r="M18" s="8">
        <f>0.33/19</f>
        <v>0.017368421052631578</v>
      </c>
      <c r="N18" s="8">
        <f>0.55/19</f>
        <v>0.028947368421052635</v>
      </c>
      <c r="O18" s="8">
        <f>0.46/19</f>
        <v>0.024210526315789474</v>
      </c>
      <c r="P18" s="8">
        <f>2.25/19</f>
        <v>0.11842105263157894</v>
      </c>
      <c r="Q18" s="8">
        <f>0.85/19</f>
        <v>0.04473684210526316</v>
      </c>
      <c r="R18" s="8">
        <f>0.57/19</f>
        <v>0.03</v>
      </c>
      <c r="S18" s="8">
        <f>1.31/19</f>
        <v>0.06894736842105263</v>
      </c>
      <c r="T18" s="8">
        <f>0.235/19</f>
        <v>0.012368421052631579</v>
      </c>
      <c r="U18" s="8">
        <f>0.118/19</f>
        <v>0.006210526315789474</v>
      </c>
      <c r="V18" s="8">
        <v>0</v>
      </c>
      <c r="W18" s="8">
        <f>0.158/19</f>
        <v>0.00831578947368421</v>
      </c>
      <c r="X18" s="8">
        <f>0.171/19</f>
        <v>0.009000000000000001</v>
      </c>
    </row>
    <row r="19" spans="1:24" s="8" customFormat="1" ht="11.25">
      <c r="A19" s="8" t="s">
        <v>66</v>
      </c>
      <c r="C19" s="8">
        <f>0.8/19</f>
        <v>0.042105263157894736</v>
      </c>
      <c r="D19" s="8">
        <f>1.29/19</f>
        <v>0.06789473684210527</v>
      </c>
      <c r="E19" s="8">
        <f>0.5/19</f>
        <v>0.02631578947368421</v>
      </c>
      <c r="F19" s="8">
        <f>1.1/19</f>
        <v>0.05789473684210527</v>
      </c>
      <c r="G19" s="8">
        <f>1.44/19</f>
        <v>0.07578947368421052</v>
      </c>
      <c r="H19" s="8">
        <f>2.25/19</f>
        <v>0.11842105263157894</v>
      </c>
      <c r="I19" s="8">
        <f>1.5/19</f>
        <v>0.07894736842105263</v>
      </c>
      <c r="J19" s="8">
        <f>1.143/19</f>
        <v>0.060157894736842105</v>
      </c>
      <c r="K19" s="8">
        <v>0</v>
      </c>
      <c r="L19" s="8">
        <v>0</v>
      </c>
      <c r="M19" s="8">
        <v>0</v>
      </c>
      <c r="N19" s="8">
        <v>0</v>
      </c>
      <c r="O19" s="8">
        <f>0.09/19</f>
        <v>0.004736842105263157</v>
      </c>
      <c r="P19" s="8">
        <f>0.42/19</f>
        <v>0.022105263157894735</v>
      </c>
      <c r="Q19" s="8">
        <f>0.1/19</f>
        <v>0.005263157894736842</v>
      </c>
      <c r="R19" s="8">
        <v>0</v>
      </c>
      <c r="S19" s="8">
        <f>0.08/19</f>
        <v>0.004210526315789474</v>
      </c>
      <c r="T19" s="8">
        <v>0</v>
      </c>
      <c r="U19" s="8">
        <f>0.059/19</f>
        <v>0.003105263157894737</v>
      </c>
      <c r="V19" s="8">
        <f>0.04/19</f>
        <v>0.002105263157894737</v>
      </c>
      <c r="W19" s="8">
        <f>0</f>
        <v>0</v>
      </c>
      <c r="X19" s="8">
        <f>0.086/19</f>
        <v>0.004526315789473684</v>
      </c>
    </row>
    <row r="20" spans="1:24" s="8" customFormat="1" ht="11.25">
      <c r="A20" s="8" t="s">
        <v>53</v>
      </c>
      <c r="C20" s="8">
        <f>0.1/19</f>
        <v>0.005263157894736842</v>
      </c>
      <c r="D20" s="8">
        <f>0.14/19</f>
        <v>0.00736842105263158</v>
      </c>
      <c r="E20" s="8">
        <f>0.25/19</f>
        <v>0.013157894736842105</v>
      </c>
      <c r="F20" s="8">
        <v>0</v>
      </c>
      <c r="G20" s="8">
        <f>0.94/19</f>
        <v>0.049473684210526316</v>
      </c>
      <c r="H20" s="8">
        <f>0.688/19</f>
        <v>0.03621052631578947</v>
      </c>
      <c r="I20" s="8">
        <f>0.75/19</f>
        <v>0.039473684210526314</v>
      </c>
      <c r="J20" s="8">
        <f>0.429/19</f>
        <v>0.022578947368421053</v>
      </c>
      <c r="K20" s="8">
        <f>0.33/19</f>
        <v>0.017368421052631578</v>
      </c>
      <c r="L20" s="8">
        <f>0.273/19</f>
        <v>0.01436842105263158</v>
      </c>
      <c r="M20" s="8">
        <f>0.556/19</f>
        <v>0.029263157894736845</v>
      </c>
      <c r="N20" s="8">
        <f>0.818/19</f>
        <v>0.04305263157894736</v>
      </c>
      <c r="O20" s="8">
        <f>1/19</f>
        <v>0.05263157894736842</v>
      </c>
      <c r="P20" s="8">
        <f>0.33/19</f>
        <v>0.017368421052631578</v>
      </c>
      <c r="Q20" s="8">
        <f>0.25/19</f>
        <v>0.013157894736842105</v>
      </c>
      <c r="R20" s="8">
        <f>0.214/19</f>
        <v>0.011263157894736841</v>
      </c>
      <c r="S20" s="8">
        <f>1.08/19</f>
        <v>0.056842105263157895</v>
      </c>
      <c r="T20" s="8">
        <f>0.235/19</f>
        <v>0.012368421052631579</v>
      </c>
      <c r="U20" s="8">
        <f>0.588/19</f>
        <v>0.03094736842105263</v>
      </c>
      <c r="V20" s="8">
        <f>0.04/19</f>
        <v>0.002105263157894737</v>
      </c>
      <c r="W20" s="8">
        <v>0</v>
      </c>
      <c r="X20" s="8">
        <f>0.086/19</f>
        <v>0.004526315789473684</v>
      </c>
    </row>
    <row r="21" spans="1:24" s="8" customFormat="1" ht="11.25">
      <c r="A21" s="8" t="s">
        <v>78</v>
      </c>
      <c r="C21" s="8">
        <f>0.8/19</f>
        <v>0.042105263157894736</v>
      </c>
      <c r="D21" s="8">
        <f>1.29/19</f>
        <v>0.06789473684210527</v>
      </c>
      <c r="E21" s="8">
        <f>3.25/19</f>
        <v>0.17105263157894737</v>
      </c>
      <c r="F21" s="8">
        <f>2/19</f>
        <v>0.10526315789473684</v>
      </c>
      <c r="G21" s="8">
        <f>2/19</f>
        <v>0.10526315789473684</v>
      </c>
      <c r="H21" s="8">
        <f>2.25/19</f>
        <v>0.11842105263157894</v>
      </c>
      <c r="I21" s="8">
        <f>2.25/19</f>
        <v>0.11842105263157894</v>
      </c>
      <c r="J21" s="8">
        <f>3.214/19</f>
        <v>0.1691578947368421</v>
      </c>
      <c r="K21" s="8">
        <f>4.17/19</f>
        <v>0.21947368421052632</v>
      </c>
      <c r="L21" s="8">
        <f>4.64/19</f>
        <v>0.24421052631578946</v>
      </c>
      <c r="M21" s="8">
        <f>2.7/19</f>
        <v>0.14210526315789473</v>
      </c>
      <c r="N21" s="8">
        <v>0.1721</v>
      </c>
      <c r="O21" s="8">
        <v>0.1195</v>
      </c>
      <c r="P21" s="8">
        <f>0.833/19</f>
        <v>0.04384210526315789</v>
      </c>
      <c r="Q21" s="8">
        <f>1.45/19</f>
        <v>0.07631578947368421</v>
      </c>
      <c r="R21" s="8">
        <f>2/19</f>
        <v>0.10526315789473684</v>
      </c>
      <c r="S21" s="8">
        <f>3.46/19</f>
        <v>0.18210526315789474</v>
      </c>
      <c r="T21" s="8">
        <f>2.824/19</f>
        <v>0.14863157894736842</v>
      </c>
      <c r="U21" s="8">
        <f>3/19</f>
        <v>0.15789473684210525</v>
      </c>
      <c r="V21" s="8">
        <f>4.12/19</f>
        <v>0.2168421052631579</v>
      </c>
      <c r="W21" s="8">
        <f>3.263/19</f>
        <v>0.17173684210526316</v>
      </c>
      <c r="X21" s="8">
        <f>2.914/19</f>
        <v>0.1533684210526316</v>
      </c>
    </row>
    <row r="22" spans="1:24" s="8" customFormat="1" ht="11.25">
      <c r="A22" s="10" t="s">
        <v>54</v>
      </c>
      <c r="C22" s="8">
        <f>0.1/19</f>
        <v>0.005263157894736842</v>
      </c>
      <c r="D22" s="8">
        <v>0</v>
      </c>
      <c r="E22" s="8">
        <v>0.0132</v>
      </c>
      <c r="F22" s="8">
        <v>0</v>
      </c>
      <c r="G22" s="8">
        <f>0.06/19</f>
        <v>0.003157894736842105</v>
      </c>
      <c r="H22" s="8">
        <f>0.188/19</f>
        <v>0.009894736842105263</v>
      </c>
      <c r="I22" s="8">
        <f>0.75/19</f>
        <v>0.039473684210526314</v>
      </c>
      <c r="J22" s="8">
        <v>0</v>
      </c>
      <c r="K22" s="8">
        <v>0</v>
      </c>
      <c r="L22" s="8">
        <f>0.182/19</f>
        <v>0.009578947368421053</v>
      </c>
      <c r="M22" s="8">
        <v>0</v>
      </c>
      <c r="N22" s="8">
        <f>0.273/19</f>
        <v>0.01436842105263158</v>
      </c>
      <c r="O22" s="8">
        <f>0.091/19</f>
        <v>0.004789473684210527</v>
      </c>
      <c r="P22" s="8">
        <f>0.167/19</f>
        <v>0.008789473684210528</v>
      </c>
      <c r="Q22" s="8">
        <f>0.05/19</f>
        <v>0.002631578947368421</v>
      </c>
      <c r="R22" s="8">
        <f>0.143/19</f>
        <v>0.007526315789473684</v>
      </c>
      <c r="S22" s="8">
        <f>0.08/19</f>
        <v>0.004210526315789474</v>
      </c>
      <c r="T22" s="8">
        <f>0.059/19</f>
        <v>0.003105263157894737</v>
      </c>
      <c r="U22" s="8">
        <f>0.059/19</f>
        <v>0.003105263157894737</v>
      </c>
      <c r="V22" s="8">
        <f>0.16/19</f>
        <v>0.008421052631578947</v>
      </c>
      <c r="W22" s="8">
        <v>0</v>
      </c>
      <c r="X22" s="8">
        <f>0.057/19</f>
        <v>0.003</v>
      </c>
    </row>
    <row r="23" spans="1:24" s="8" customFormat="1" ht="11.25">
      <c r="A23" s="8" t="s">
        <v>24</v>
      </c>
      <c r="C23" s="8">
        <f>6/19</f>
        <v>0.3157894736842105</v>
      </c>
      <c r="D23" s="8">
        <f>7.43/19</f>
        <v>0.3910526315789474</v>
      </c>
      <c r="E23" s="8">
        <f>13.55/19</f>
        <v>0.7131578947368421</v>
      </c>
      <c r="F23" s="8">
        <f>13.5/19</f>
        <v>0.7105263157894737</v>
      </c>
      <c r="G23" s="8">
        <f>13.62/19</f>
        <v>0.7168421052631578</v>
      </c>
      <c r="H23" s="8">
        <f>13.688/19</f>
        <v>0.720421052631579</v>
      </c>
      <c r="I23" s="8">
        <f>18.125/19</f>
        <v>0.9539473684210527</v>
      </c>
      <c r="J23" s="8">
        <f>16.857/19</f>
        <v>0.8872105263157894</v>
      </c>
      <c r="K23" s="8">
        <f>12.327/19</f>
        <v>0.6487894736842105</v>
      </c>
      <c r="L23" s="8">
        <f>12.219/19</f>
        <v>0.6431052631578947</v>
      </c>
      <c r="M23" s="8">
        <f>13.818/19</f>
        <v>0.7272631578947368</v>
      </c>
      <c r="N23" s="8">
        <f>14.333/19</f>
        <v>0.7543684210526316</v>
      </c>
      <c r="O23" s="8">
        <f>11.909/19</f>
        <v>0.6267894736842106</v>
      </c>
      <c r="P23" s="8">
        <f>14.333/19</f>
        <v>0.7543684210526316</v>
      </c>
      <c r="Q23" s="8">
        <f>11.35/19</f>
        <v>0.5973684210526315</v>
      </c>
      <c r="R23" s="8">
        <f>12.786/43.5</f>
        <v>0.2939310344827586</v>
      </c>
      <c r="S23" s="8">
        <f>20.08/19</f>
        <v>1.0568421052631578</v>
      </c>
      <c r="T23" s="8">
        <f>12.824/19</f>
        <v>0.6749473684210526</v>
      </c>
      <c r="U23" s="8">
        <f>12.647/19</f>
        <v>0.6656315789473685</v>
      </c>
      <c r="V23" s="8">
        <f>11.28/19</f>
        <v>0.5936842105263157</v>
      </c>
      <c r="W23" s="8">
        <f>9.789/19</f>
        <v>0.5152105263157895</v>
      </c>
      <c r="X23" s="8">
        <f>10.229/19</f>
        <v>0.5383684210526315</v>
      </c>
    </row>
    <row r="25" ht="11.25">
      <c r="A25" s="15" t="s">
        <v>83</v>
      </c>
    </row>
    <row r="26" spans="1:24" s="18" customFormat="1" ht="11.25">
      <c r="A26" s="18" t="s">
        <v>0</v>
      </c>
      <c r="C26" s="18">
        <v>1990</v>
      </c>
      <c r="D26" s="18">
        <v>1991</v>
      </c>
      <c r="E26" s="18">
        <v>1992</v>
      </c>
      <c r="F26" s="18">
        <v>1993</v>
      </c>
      <c r="G26" s="18">
        <v>1994</v>
      </c>
      <c r="H26" s="18">
        <v>1995</v>
      </c>
      <c r="I26" s="18">
        <v>1996</v>
      </c>
      <c r="J26" s="18">
        <v>1997</v>
      </c>
      <c r="K26" s="18">
        <v>1998</v>
      </c>
      <c r="L26" s="18">
        <v>1999</v>
      </c>
      <c r="M26" s="18">
        <v>2000</v>
      </c>
      <c r="N26" s="18">
        <v>2001</v>
      </c>
      <c r="O26" s="18">
        <v>2002</v>
      </c>
      <c r="P26" s="18">
        <v>2003</v>
      </c>
      <c r="Q26" s="18">
        <v>2004</v>
      </c>
      <c r="R26" s="18">
        <v>2005</v>
      </c>
      <c r="S26" s="18">
        <v>2006</v>
      </c>
      <c r="T26" s="18">
        <v>2007</v>
      </c>
      <c r="U26" s="18">
        <v>2008</v>
      </c>
      <c r="V26" s="18">
        <v>2009</v>
      </c>
      <c r="W26" s="18">
        <v>2010</v>
      </c>
      <c r="X26" s="18">
        <v>2011</v>
      </c>
    </row>
    <row r="27" spans="1:24" s="8" customFormat="1" ht="11.25">
      <c r="A27" s="8" t="s">
        <v>50</v>
      </c>
      <c r="C27" s="8">
        <f>0.44/32</f>
        <v>0.01375</v>
      </c>
      <c r="D27" s="8">
        <f>2.5/32</f>
        <v>0.078125</v>
      </c>
      <c r="E27" s="8">
        <f>1.88/32</f>
        <v>0.05875</v>
      </c>
      <c r="F27" s="8" t="s">
        <v>14</v>
      </c>
      <c r="G27" s="8">
        <f>2.38/32</f>
        <v>0.074375</v>
      </c>
      <c r="H27" s="8">
        <f>0.8/32</f>
        <v>0.025</v>
      </c>
      <c r="I27" s="8">
        <f>0.6/32</f>
        <v>0.01875</v>
      </c>
      <c r="J27" s="8">
        <f>0.33/32</f>
        <v>0.0103125</v>
      </c>
      <c r="K27" s="8">
        <f>0.5/32</f>
        <v>0.015625</v>
      </c>
      <c r="L27" s="8">
        <f>0.818/32</f>
        <v>0.0255625</v>
      </c>
      <c r="M27" s="8">
        <f>0.444/32</f>
        <v>0.013875</v>
      </c>
      <c r="N27" s="8">
        <f>0.833/32</f>
        <v>0.02603125</v>
      </c>
      <c r="O27" s="8">
        <f>0.5/32</f>
        <v>0.015625</v>
      </c>
      <c r="P27" s="8">
        <f>0.5/32</f>
        <v>0.015625</v>
      </c>
      <c r="Q27" s="8">
        <f>0.467/32</f>
        <v>0.01459375</v>
      </c>
      <c r="R27" s="8">
        <f>0.308/32</f>
        <v>0.009625</v>
      </c>
      <c r="S27" s="8">
        <f>0.6/32</f>
        <v>0.01875</v>
      </c>
      <c r="T27" s="8">
        <f>0.636/32</f>
        <v>0.019875</v>
      </c>
      <c r="U27" s="8">
        <f>0.667/32</f>
        <v>0.02084375</v>
      </c>
      <c r="V27" s="8">
        <f>0.727/32</f>
        <v>0.02271875</v>
      </c>
      <c r="W27" s="8">
        <f>0.345/32</f>
        <v>0.01078125</v>
      </c>
      <c r="X27" s="8">
        <f>0.375/32</f>
        <v>0.01171875</v>
      </c>
    </row>
    <row r="28" spans="1:24" s="8" customFormat="1" ht="11.25">
      <c r="A28" s="8" t="s">
        <v>51</v>
      </c>
      <c r="C28" s="8">
        <f>0.06/43.5</f>
        <v>0.001379310344827586</v>
      </c>
      <c r="D28" s="8">
        <v>0</v>
      </c>
      <c r="E28" s="8">
        <v>0</v>
      </c>
      <c r="F28" s="8" t="s">
        <v>14</v>
      </c>
      <c r="G28" s="8">
        <f>0.25/32</f>
        <v>0.0078125</v>
      </c>
      <c r="H28" s="8">
        <f>2/32</f>
        <v>0.0625</v>
      </c>
      <c r="I28" s="8">
        <v>0</v>
      </c>
      <c r="J28" s="8">
        <v>0</v>
      </c>
      <c r="K28" s="8">
        <f>0.33/32</f>
        <v>0.0103125</v>
      </c>
      <c r="L28" s="8">
        <f>0.636/32</f>
        <v>0.019875</v>
      </c>
      <c r="M28" s="8">
        <f>0.222/32</f>
        <v>0.0069375</v>
      </c>
      <c r="N28" s="8">
        <v>0</v>
      </c>
      <c r="O28" s="8">
        <f>0.33/32</f>
        <v>0.0103125</v>
      </c>
      <c r="P28" s="8">
        <v>0</v>
      </c>
      <c r="Q28" s="8">
        <f>0.067/32</f>
        <v>0.00209375</v>
      </c>
      <c r="R28" s="8">
        <f>0.077/32</f>
        <v>0.00240625</v>
      </c>
      <c r="S28" s="8">
        <f>0.5/32</f>
        <v>0.015625</v>
      </c>
      <c r="T28" s="8">
        <f>0.455/32</f>
        <v>0.01421875</v>
      </c>
      <c r="U28" s="8">
        <f>0.083/32</f>
        <v>0.00259375</v>
      </c>
      <c r="V28" s="8">
        <f>0.455/32</f>
        <v>0.01421875</v>
      </c>
      <c r="W28" s="8">
        <f>0.034/32</f>
        <v>0.0010625</v>
      </c>
      <c r="X28" s="8">
        <f>0.813/32</f>
        <v>0.02540625</v>
      </c>
    </row>
    <row r="29" spans="1:24" s="8" customFormat="1" ht="11.25">
      <c r="A29" s="8" t="s">
        <v>76</v>
      </c>
      <c r="C29" s="8">
        <f>2.31/32</f>
        <v>0.0721875</v>
      </c>
      <c r="D29" s="8">
        <f>3.5/32</f>
        <v>0.109375</v>
      </c>
      <c r="E29" s="8">
        <f>5.25/32</f>
        <v>0.1640625</v>
      </c>
      <c r="F29" s="8" t="s">
        <v>14</v>
      </c>
      <c r="G29" s="8">
        <f>7.5/32</f>
        <v>0.234375</v>
      </c>
      <c r="H29" s="8">
        <f>4/32</f>
        <v>0.125</v>
      </c>
      <c r="I29" s="8">
        <f>3/32</f>
        <v>0.09375</v>
      </c>
      <c r="J29" s="8">
        <f>3.33/32</f>
        <v>0.1040625</v>
      </c>
      <c r="K29" s="8">
        <f>4.08/32</f>
        <v>0.1275</v>
      </c>
      <c r="L29" s="8">
        <f>5/32</f>
        <v>0.15625</v>
      </c>
      <c r="M29" s="8">
        <f>3.7/32</f>
        <v>0.115625</v>
      </c>
      <c r="N29" s="8">
        <f>3.83/32</f>
        <v>0.1196875</v>
      </c>
      <c r="O29" s="8">
        <f>4.92/32</f>
        <v>0.15375</v>
      </c>
      <c r="P29" s="8">
        <f>3.08/32</f>
        <v>0.09625</v>
      </c>
      <c r="Q29" s="8">
        <f>3.87/32</f>
        <v>0.1209375</v>
      </c>
      <c r="R29" s="8">
        <f>4.23/32</f>
        <v>0.1321875</v>
      </c>
      <c r="S29" s="8">
        <f>4.2/32</f>
        <v>0.13125</v>
      </c>
      <c r="T29" s="8">
        <f>7/32</f>
        <v>0.21875</v>
      </c>
      <c r="U29" s="8">
        <f>7.583/32</f>
        <v>0.23696875</v>
      </c>
      <c r="V29" s="8">
        <f>8.864/32</f>
        <v>0.277</v>
      </c>
      <c r="W29" s="8">
        <f>7.586/32</f>
        <v>0.2370625</v>
      </c>
      <c r="X29" s="8">
        <f>8.688/32</f>
        <v>0.2715</v>
      </c>
    </row>
    <row r="30" spans="1:24" s="8" customFormat="1" ht="11.25">
      <c r="A30" s="8" t="s">
        <v>77</v>
      </c>
      <c r="C30" s="8">
        <f>7.18/32</f>
        <v>0.224375</v>
      </c>
      <c r="D30" s="8">
        <f>4.5/32</f>
        <v>0.140625</v>
      </c>
      <c r="E30" s="8">
        <f>6.63/32</f>
        <v>0.2071875</v>
      </c>
      <c r="F30" s="8" t="s">
        <v>14</v>
      </c>
      <c r="G30" s="8">
        <f>6.63/32</f>
        <v>0.2071875</v>
      </c>
      <c r="H30" s="8">
        <f>0.7/32</f>
        <v>0.021875</v>
      </c>
      <c r="I30" s="8">
        <v>0</v>
      </c>
      <c r="J30" s="8">
        <v>0</v>
      </c>
      <c r="K30" s="8">
        <f>0.417/32</f>
        <v>0.01303125</v>
      </c>
      <c r="L30" s="8">
        <f>0.545/32</f>
        <v>0.01703125</v>
      </c>
      <c r="M30" s="8">
        <f>0.11/32</f>
        <v>0.0034375</v>
      </c>
      <c r="N30" s="8">
        <f>0.67/32</f>
        <v>0.0209375</v>
      </c>
      <c r="O30" s="8">
        <f>0.92/32</f>
        <v>0.02875</v>
      </c>
      <c r="P30" s="8">
        <f>0.33/32</f>
        <v>0.0103125</v>
      </c>
      <c r="Q30" s="8">
        <f>0.33/32</f>
        <v>0.0103125</v>
      </c>
      <c r="R30" s="8">
        <f>0.08/32</f>
        <v>0.0025</v>
      </c>
      <c r="S30" s="8">
        <f>0.2/32</f>
        <v>0.00625</v>
      </c>
      <c r="T30" s="8">
        <f>0.546/32</f>
        <v>0.0170625</v>
      </c>
      <c r="U30" s="8">
        <f>0.583/32</f>
        <v>0.01821875</v>
      </c>
      <c r="V30" s="8">
        <f>0.636/32</f>
        <v>0.019875</v>
      </c>
      <c r="W30" s="8">
        <f>0.138/32</f>
        <v>0.0043125</v>
      </c>
      <c r="X30" s="8">
        <f>0.063/32</f>
        <v>0.00196875</v>
      </c>
    </row>
    <row r="31" spans="1:24" s="8" customFormat="1" ht="11.25">
      <c r="A31" s="8" t="s">
        <v>66</v>
      </c>
      <c r="C31" s="8">
        <f>1.44/32</f>
        <v>0.045</v>
      </c>
      <c r="D31" s="8">
        <f>1.5/32</f>
        <v>0.046875</v>
      </c>
      <c r="E31" s="8">
        <f>1/32</f>
        <v>0.03125</v>
      </c>
      <c r="F31" s="8" t="s">
        <v>14</v>
      </c>
      <c r="G31" s="8">
        <f>1.75/32</f>
        <v>0.0546875</v>
      </c>
      <c r="H31" s="8">
        <f>2/32</f>
        <v>0.0625</v>
      </c>
      <c r="I31" s="8">
        <f>0.4/32</f>
        <v>0.0125</v>
      </c>
      <c r="J31" s="8">
        <v>0</v>
      </c>
      <c r="K31" s="8">
        <f>0.75/32</f>
        <v>0.0234375</v>
      </c>
      <c r="L31" s="8">
        <f>0.46/32</f>
        <v>0.014375</v>
      </c>
      <c r="M31" s="8">
        <v>0</v>
      </c>
      <c r="N31" s="8">
        <f>0.167/32</f>
        <v>0.00521875</v>
      </c>
      <c r="O31" s="8">
        <f>0.917/32</f>
        <v>0.02865625</v>
      </c>
      <c r="P31" s="8">
        <f>0.25/32</f>
        <v>0.0078125</v>
      </c>
      <c r="Q31" s="8">
        <f>0.067/32</f>
        <v>0.00209375</v>
      </c>
      <c r="R31" s="8">
        <f>0.077/32</f>
        <v>0.00240625</v>
      </c>
      <c r="S31" s="8">
        <f>0/32</f>
        <v>0</v>
      </c>
      <c r="T31" s="8">
        <f>0.091/32</f>
        <v>0.00284375</v>
      </c>
      <c r="U31" s="8">
        <v>0</v>
      </c>
      <c r="V31" s="8">
        <f>0.136/32</f>
        <v>0.00425</v>
      </c>
      <c r="W31" s="8">
        <f>0.069/32</f>
        <v>0.00215625</v>
      </c>
      <c r="X31" s="8">
        <f>0.313/32</f>
        <v>0.00978125</v>
      </c>
    </row>
    <row r="32" spans="1:24" s="8" customFormat="1" ht="11.25">
      <c r="A32" s="8" t="s">
        <v>53</v>
      </c>
      <c r="C32" s="8">
        <f>0.81/32</f>
        <v>0.0253125</v>
      </c>
      <c r="D32" s="8">
        <v>0</v>
      </c>
      <c r="E32" s="8">
        <f>1.75/32</f>
        <v>0.0546875</v>
      </c>
      <c r="F32" s="8" t="s">
        <v>14</v>
      </c>
      <c r="G32" s="8">
        <f>1.63/32</f>
        <v>0.0509375</v>
      </c>
      <c r="H32" s="8">
        <f>2/32</f>
        <v>0.0625</v>
      </c>
      <c r="I32" s="8">
        <f>1.2/32</f>
        <v>0.0375</v>
      </c>
      <c r="J32" s="8">
        <f>2/32</f>
        <v>0.0625</v>
      </c>
      <c r="K32" s="8">
        <f>0.5/32</f>
        <v>0.015625</v>
      </c>
      <c r="L32" s="8">
        <f>1.091/32</f>
        <v>0.03409375</v>
      </c>
      <c r="M32" s="8">
        <f>1.556/32</f>
        <v>0.048625</v>
      </c>
      <c r="N32" s="8">
        <f>2.5/32</f>
        <v>0.078125</v>
      </c>
      <c r="O32" s="8">
        <f>2.167/32</f>
        <v>0.06771875</v>
      </c>
      <c r="P32" s="8">
        <f>1/32</f>
        <v>0.03125</v>
      </c>
      <c r="Q32" s="8">
        <f>0.8/32</f>
        <v>0.025</v>
      </c>
      <c r="R32" s="8">
        <f>0.846/32</f>
        <v>0.0264375</v>
      </c>
      <c r="S32" s="8">
        <f>0.27/32</f>
        <v>0.0084375</v>
      </c>
      <c r="T32" s="8">
        <f>1.272/32</f>
        <v>0.03975</v>
      </c>
      <c r="U32" s="8">
        <f>1.167/32</f>
        <v>0.03646875</v>
      </c>
      <c r="V32" s="8">
        <f>1.045/32</f>
        <v>0.03265625</v>
      </c>
      <c r="W32" s="8">
        <f>0.483/32</f>
        <v>0.01509375</v>
      </c>
      <c r="X32" s="8">
        <f>0.563/32</f>
        <v>0.01759375</v>
      </c>
    </row>
    <row r="33" spans="1:24" s="8" customFormat="1" ht="11.25">
      <c r="A33" s="8" t="s">
        <v>78</v>
      </c>
      <c r="C33" s="8">
        <f>1.31/32</f>
        <v>0.0409375</v>
      </c>
      <c r="D33" s="8">
        <f>2.5/32</f>
        <v>0.078125</v>
      </c>
      <c r="E33" s="8">
        <f>1.63/32</f>
        <v>0.0509375</v>
      </c>
      <c r="F33" s="8" t="s">
        <v>14</v>
      </c>
      <c r="G33" s="8">
        <f>1.5/32</f>
        <v>0.046875</v>
      </c>
      <c r="H33" s="8">
        <f>2.2/32</f>
        <v>0.06875</v>
      </c>
      <c r="I33" s="8">
        <f>1.4/32</f>
        <v>0.04375</v>
      </c>
      <c r="J33" s="8">
        <f>0.67/32</f>
        <v>0.0209375</v>
      </c>
      <c r="K33" s="8">
        <f>1.58/32</f>
        <v>0.049375</v>
      </c>
      <c r="L33" s="8">
        <f>2.36/32</f>
        <v>0.07375</v>
      </c>
      <c r="M33" s="8">
        <f>1.67/32</f>
        <v>0.0521875</v>
      </c>
      <c r="N33" s="8">
        <v>0.0728</v>
      </c>
      <c r="O33" s="8">
        <v>0.0938</v>
      </c>
      <c r="P33" s="8">
        <f>1.42/32</f>
        <v>0.044375</v>
      </c>
      <c r="Q33" s="8">
        <f>1.73/32</f>
        <v>0.0540625</v>
      </c>
      <c r="R33" s="8">
        <f>2.46/32</f>
        <v>0.076875</v>
      </c>
      <c r="S33" s="8">
        <f>3.3/32</f>
        <v>0.103125</v>
      </c>
      <c r="T33" s="8">
        <f>3.909/32</f>
        <v>0.12215625</v>
      </c>
      <c r="U33" s="8">
        <f>2.667/32</f>
        <v>0.08334375</v>
      </c>
      <c r="V33" s="8">
        <f>4.045/32</f>
        <v>0.12640625</v>
      </c>
      <c r="W33" s="8">
        <f>4.103/32</f>
        <v>0.12821875</v>
      </c>
      <c r="X33" s="8">
        <f>4.938/32</f>
        <v>0.1543125</v>
      </c>
    </row>
    <row r="34" spans="1:24" s="8" customFormat="1" ht="11.25">
      <c r="A34" s="8" t="s">
        <v>54</v>
      </c>
      <c r="C34" s="8">
        <f>0.13/32</f>
        <v>0.0040625</v>
      </c>
      <c r="D34" s="8">
        <v>0</v>
      </c>
      <c r="E34" s="8">
        <v>0.0078</v>
      </c>
      <c r="F34" s="8" t="s">
        <v>14</v>
      </c>
      <c r="G34" s="8">
        <f>0.25/32</f>
        <v>0.0078125</v>
      </c>
      <c r="H34" s="8">
        <f>0.3/32</f>
        <v>0.009375</v>
      </c>
      <c r="I34" s="8">
        <f>0.2/32</f>
        <v>0.00625</v>
      </c>
      <c r="J34" s="8">
        <v>0</v>
      </c>
      <c r="K34" s="8">
        <f>0.25/32</f>
        <v>0.0078125</v>
      </c>
      <c r="L34" s="8">
        <v>0</v>
      </c>
      <c r="M34" s="8">
        <v>0</v>
      </c>
      <c r="N34" s="8">
        <f>0.167/32</f>
        <v>0.00521875</v>
      </c>
      <c r="O34" s="8">
        <v>0</v>
      </c>
      <c r="P34" s="8">
        <v>0</v>
      </c>
      <c r="Q34" s="8">
        <f>0.067/32</f>
        <v>0.00209375</v>
      </c>
      <c r="R34" s="8">
        <f>0.077/32</f>
        <v>0.00240625</v>
      </c>
      <c r="S34" s="8">
        <f>0.2/32</f>
        <v>0.00625</v>
      </c>
      <c r="T34" s="8">
        <f>0.273/32</f>
        <v>0.00853125</v>
      </c>
      <c r="U34" s="8">
        <f>0.083/32</f>
        <v>0.00259375</v>
      </c>
      <c r="V34" s="8">
        <f>0.091/32</f>
        <v>0.00284375</v>
      </c>
      <c r="W34" s="8">
        <f>0.034/32</f>
        <v>0.0010625</v>
      </c>
      <c r="X34" s="8">
        <f>0.375/32</f>
        <v>0.01171875</v>
      </c>
    </row>
    <row r="35" spans="1:24" s="8" customFormat="1" ht="11.25">
      <c r="A35" s="8" t="s">
        <v>24</v>
      </c>
      <c r="C35" s="8">
        <f>16.56/32</f>
        <v>0.5175</v>
      </c>
      <c r="D35" s="8">
        <f>17.5/36</f>
        <v>0.4861111111111111</v>
      </c>
      <c r="E35" s="8">
        <f>21.39/32</f>
        <v>0.6684375</v>
      </c>
      <c r="F35" s="8" t="s">
        <v>14</v>
      </c>
      <c r="G35" s="8">
        <f>22.64/32</f>
        <v>0.7075</v>
      </c>
      <c r="H35" s="8">
        <f>12.6/32</f>
        <v>0.39375</v>
      </c>
      <c r="I35" s="8">
        <f>7.4/32</f>
        <v>0.23125</v>
      </c>
      <c r="J35" s="8">
        <f>6.66/32</f>
        <v>0.208125</v>
      </c>
      <c r="K35" s="8">
        <f>8.827/32</f>
        <v>0.27584375</v>
      </c>
      <c r="L35" s="8">
        <f>11.455/32</f>
        <v>0.35796875</v>
      </c>
      <c r="M35" s="8">
        <f>8.111/32</f>
        <v>0.25346875</v>
      </c>
      <c r="N35" s="8">
        <f>11.333/32</f>
        <v>0.35415625</v>
      </c>
      <c r="O35" s="8">
        <f>13.914/32</f>
        <v>0.4348125</v>
      </c>
      <c r="P35" s="8">
        <f>6.913/32</f>
        <v>0.21603125</v>
      </c>
      <c r="Q35" s="8">
        <f>7.8/32</f>
        <v>0.24375</v>
      </c>
      <c r="R35" s="8">
        <f>8.462/32</f>
        <v>0.2644375</v>
      </c>
      <c r="S35" s="8">
        <f>10.4/32</f>
        <v>0.325</v>
      </c>
      <c r="T35" s="8">
        <f>14.909/32</f>
        <v>0.46590625</v>
      </c>
      <c r="U35" s="8">
        <f>13.904/32</f>
        <v>0.4345</v>
      </c>
      <c r="V35" s="8">
        <f>17.409/32</f>
        <v>0.54403125</v>
      </c>
      <c r="W35" s="8">
        <f>14.207/32</f>
        <v>0.44396875</v>
      </c>
      <c r="X35" s="8">
        <f>16.625/32</f>
        <v>0.51953125</v>
      </c>
    </row>
    <row r="37" ht="11.25">
      <c r="A37" s="15" t="s">
        <v>84</v>
      </c>
    </row>
    <row r="38" spans="1:9" s="18" customFormat="1" ht="11.25">
      <c r="A38" s="18" t="s">
        <v>0</v>
      </c>
      <c r="C38" s="18">
        <v>1990</v>
      </c>
      <c r="D38" s="18">
        <v>1991</v>
      </c>
      <c r="E38" s="18">
        <v>1992</v>
      </c>
      <c r="F38" s="18">
        <v>1993</v>
      </c>
      <c r="G38" s="18">
        <v>1994</v>
      </c>
      <c r="H38" s="18">
        <v>1995</v>
      </c>
      <c r="I38" s="18">
        <v>1996</v>
      </c>
    </row>
    <row r="39" spans="1:9" ht="11.25">
      <c r="A39" s="11" t="s">
        <v>50</v>
      </c>
      <c r="C39" s="8">
        <f>0.11/19.5</f>
        <v>0.0056410256410256415</v>
      </c>
      <c r="D39" s="8">
        <f>2.13/19.5</f>
        <v>0.10923076923076923</v>
      </c>
      <c r="E39" s="8">
        <f>1/19.5</f>
        <v>0.05128205128205128</v>
      </c>
      <c r="F39" s="8">
        <f>4/19.5</f>
        <v>0.20512820512820512</v>
      </c>
      <c r="G39" s="8">
        <f>3.71/19.5</f>
        <v>0.19025641025641024</v>
      </c>
      <c r="H39" s="8">
        <f>1/19.5</f>
        <v>0.05128205128205128</v>
      </c>
      <c r="I39" s="8">
        <f>0.8/19.5</f>
        <v>0.041025641025641026</v>
      </c>
    </row>
    <row r="40" spans="1:9" ht="11.25">
      <c r="A40" s="11" t="s">
        <v>51</v>
      </c>
      <c r="C40" s="8">
        <v>0</v>
      </c>
      <c r="D40" s="8">
        <f>0.38/19.5</f>
        <v>0.019487179487179488</v>
      </c>
      <c r="E40" s="8">
        <v>0</v>
      </c>
      <c r="F40" s="8">
        <v>0</v>
      </c>
      <c r="G40" s="8">
        <f>0.14/19.5</f>
        <v>0.00717948717948718</v>
      </c>
      <c r="H40" s="8">
        <v>0</v>
      </c>
      <c r="I40" s="8">
        <f>0.4/19.5</f>
        <v>0.020512820512820513</v>
      </c>
    </row>
    <row r="41" spans="1:9" ht="11.25">
      <c r="A41" s="11" t="s">
        <v>76</v>
      </c>
      <c r="C41" s="8">
        <f>2.22/19.5</f>
        <v>0.11384615384615386</v>
      </c>
      <c r="D41" s="8">
        <f>4.25/19.5</f>
        <v>0.21794871794871795</v>
      </c>
      <c r="E41" s="8">
        <f>5.4/19.5</f>
        <v>0.27692307692307694</v>
      </c>
      <c r="F41" s="8">
        <f>2/19.5</f>
        <v>0.10256410256410256</v>
      </c>
      <c r="G41" s="8">
        <f>4/19.5</f>
        <v>0.20512820512820512</v>
      </c>
      <c r="H41" s="8">
        <f>1.75/19.5</f>
        <v>0.08974358974358974</v>
      </c>
      <c r="I41" s="8">
        <f>3.4/19.5</f>
        <v>0.17435897435897435</v>
      </c>
    </row>
    <row r="42" spans="1:9" ht="11.25">
      <c r="A42" s="11" t="s">
        <v>80</v>
      </c>
      <c r="C42" s="8">
        <f>6.11/19.5</f>
        <v>0.31333333333333335</v>
      </c>
      <c r="D42" s="8">
        <f>9.75/19.5</f>
        <v>0.5</v>
      </c>
      <c r="E42" s="8">
        <f>8/19.5</f>
        <v>0.41025641025641024</v>
      </c>
      <c r="F42" s="8">
        <f>4.5/19.5</f>
        <v>0.23076923076923078</v>
      </c>
      <c r="G42" s="8">
        <f>8.57/19.5</f>
        <v>0.4394871794871795</v>
      </c>
      <c r="H42" s="8">
        <f>1.88/19.5</f>
        <v>0.0964102564102564</v>
      </c>
      <c r="I42" s="8">
        <f>1.2/19.5</f>
        <v>0.061538461538461535</v>
      </c>
    </row>
    <row r="43" spans="1:9" ht="11.25">
      <c r="A43" s="11" t="s">
        <v>66</v>
      </c>
      <c r="C43" s="8">
        <f>0.22/19.5</f>
        <v>0.011282051282051283</v>
      </c>
      <c r="D43" s="8">
        <f>1.25/19.5</f>
        <v>0.0641025641025641</v>
      </c>
      <c r="E43" s="8">
        <f>0.2/19.5</f>
        <v>0.010256410256410256</v>
      </c>
      <c r="F43" s="8">
        <f>2/19.5</f>
        <v>0.10256410256410256</v>
      </c>
      <c r="G43" s="8">
        <f>0.14/19.5</f>
        <v>0.00717948717948718</v>
      </c>
      <c r="H43" s="8">
        <f>0.375/19.5</f>
        <v>0.019230769230769232</v>
      </c>
      <c r="I43" s="8">
        <v>0</v>
      </c>
    </row>
    <row r="44" spans="1:9" ht="11.25">
      <c r="A44" s="11" t="s">
        <v>53</v>
      </c>
      <c r="C44" s="8">
        <f>0.55/19.5</f>
        <v>0.02820512820512821</v>
      </c>
      <c r="D44" s="8">
        <f>0.38/19.5</f>
        <v>0.019487179487179488</v>
      </c>
      <c r="E44" s="8">
        <f>1.2/19.5</f>
        <v>0.061538461538461535</v>
      </c>
      <c r="F44" s="8">
        <f>1/19.5</f>
        <v>0.05128205128205128</v>
      </c>
      <c r="G44" s="8">
        <f>0.71/19.5</f>
        <v>0.03641025641025641</v>
      </c>
      <c r="H44" s="8">
        <f>0.375/19.5</f>
        <v>0.019230769230769232</v>
      </c>
      <c r="I44" s="8">
        <f>1.2/19.5</f>
        <v>0.061538461538461535</v>
      </c>
    </row>
    <row r="45" spans="1:9" ht="11.25">
      <c r="A45" s="11" t="s">
        <v>78</v>
      </c>
      <c r="C45" s="8">
        <f>0.55/19.5</f>
        <v>0.02820512820512821</v>
      </c>
      <c r="D45" s="8">
        <f>2.5/19.5</f>
        <v>0.1282051282051282</v>
      </c>
      <c r="E45" s="8">
        <f>1.6/19.5</f>
        <v>0.08205128205128205</v>
      </c>
      <c r="F45" s="8">
        <f>0.5/19.5</f>
        <v>0.02564102564102564</v>
      </c>
      <c r="G45" s="8">
        <f>1.71/19.5</f>
        <v>0.0876923076923077</v>
      </c>
      <c r="H45" s="8">
        <f>1.5/19.5</f>
        <v>0.07692307692307693</v>
      </c>
      <c r="I45" s="8">
        <f>1/19.5</f>
        <v>0.05128205128205128</v>
      </c>
    </row>
    <row r="46" spans="1:9" ht="11.25">
      <c r="A46" s="11" t="s">
        <v>54</v>
      </c>
      <c r="C46" s="8">
        <v>0</v>
      </c>
      <c r="D46" s="8">
        <f>0.13/19.5</f>
        <v>0.006666666666666667</v>
      </c>
      <c r="E46" s="8">
        <v>0.0308</v>
      </c>
      <c r="F46" s="8">
        <v>0</v>
      </c>
      <c r="G46" s="8">
        <f>0.14/19.5</f>
        <v>0.00717948717948718</v>
      </c>
      <c r="H46" s="8">
        <f>0.125/19.5</f>
        <v>0.00641025641025641</v>
      </c>
      <c r="I46" s="8">
        <v>0</v>
      </c>
    </row>
    <row r="47" spans="1:9" ht="11.25">
      <c r="A47" s="11" t="s">
        <v>24</v>
      </c>
      <c r="C47" s="8">
        <f>11.53/19.5</f>
        <v>0.5912820512820512</v>
      </c>
      <c r="D47" s="8">
        <f>22.03/19.5</f>
        <v>1.12974358974359</v>
      </c>
      <c r="E47" s="8">
        <f>19.2/19.5</f>
        <v>0.9846153846153846</v>
      </c>
      <c r="F47" s="8">
        <f>16/19.5</f>
        <v>0.8205128205128205</v>
      </c>
      <c r="G47" s="8">
        <f>21.4/19.5</f>
        <v>1.0974358974358973</v>
      </c>
      <c r="H47" s="8">
        <f>7.875/19.5</f>
        <v>0.40384615384615385</v>
      </c>
      <c r="I47" s="8">
        <f>8/19.5</f>
        <v>0.41025641025641024</v>
      </c>
    </row>
    <row r="49" ht="11.25">
      <c r="A49" s="15" t="s">
        <v>87</v>
      </c>
    </row>
    <row r="50" spans="1:24" s="18" customFormat="1" ht="11.25">
      <c r="A50" s="18" t="s">
        <v>0</v>
      </c>
      <c r="C50" s="18">
        <v>1990</v>
      </c>
      <c r="D50" s="18">
        <v>1991</v>
      </c>
      <c r="E50" s="18">
        <v>1992</v>
      </c>
      <c r="F50" s="18">
        <v>1993</v>
      </c>
      <c r="G50" s="18">
        <v>1994</v>
      </c>
      <c r="H50" s="18">
        <v>1995</v>
      </c>
      <c r="I50" s="18">
        <v>1996</v>
      </c>
      <c r="J50" s="18">
        <v>1997</v>
      </c>
      <c r="K50" s="18">
        <v>1998</v>
      </c>
      <c r="L50" s="18">
        <v>1999</v>
      </c>
      <c r="M50" s="18">
        <v>2000</v>
      </c>
      <c r="N50" s="18">
        <v>2001</v>
      </c>
      <c r="O50" s="18">
        <v>2002</v>
      </c>
      <c r="P50" s="18">
        <v>2003</v>
      </c>
      <c r="Q50" s="18">
        <v>2004</v>
      </c>
      <c r="R50" s="18">
        <v>2005</v>
      </c>
      <c r="S50" s="18">
        <v>2006</v>
      </c>
      <c r="T50" s="18">
        <v>2007</v>
      </c>
      <c r="U50" s="18">
        <v>2008</v>
      </c>
      <c r="V50" s="18">
        <v>2009</v>
      </c>
      <c r="W50" s="18">
        <v>2010</v>
      </c>
      <c r="X50" s="18">
        <v>2011</v>
      </c>
    </row>
    <row r="51" spans="1:24" s="8" customFormat="1" ht="11.25">
      <c r="A51" s="8" t="s">
        <v>50</v>
      </c>
      <c r="G51" s="8">
        <v>0</v>
      </c>
      <c r="H51" s="8">
        <f>2.333/30</f>
        <v>0.07776666666666668</v>
      </c>
      <c r="I51" s="8">
        <f>0.5/30</f>
        <v>0.016666666666666666</v>
      </c>
      <c r="J51" s="8">
        <v>0</v>
      </c>
      <c r="K51" s="8">
        <f>1.467/30</f>
        <v>0.048900000000000006</v>
      </c>
      <c r="L51" s="8">
        <f>1.083/30</f>
        <v>0.0361</v>
      </c>
      <c r="M51" s="8">
        <f>0.3/30</f>
        <v>0.01</v>
      </c>
      <c r="N51" s="8">
        <f>2.143/30</f>
        <v>0.07143333333333332</v>
      </c>
      <c r="O51" s="8">
        <f>0.4/30</f>
        <v>0.013333333333333334</v>
      </c>
      <c r="P51" s="8">
        <f>0.5/30</f>
        <v>0.016666666666666666</v>
      </c>
      <c r="Q51" s="8">
        <f>1/30</f>
        <v>0.03333333333333333</v>
      </c>
      <c r="R51" s="8">
        <f>0.222/30</f>
        <v>0.0074</v>
      </c>
      <c r="S51" s="8">
        <f>0.73/30</f>
        <v>0.024333333333333332</v>
      </c>
      <c r="T51" s="8">
        <f>0.917/30</f>
        <v>0.03056666666666667</v>
      </c>
      <c r="U51" s="8">
        <f>0.077/30</f>
        <v>0.0025666666666666667</v>
      </c>
      <c r="V51" s="8">
        <f>0.684/30</f>
        <v>0.0228</v>
      </c>
      <c r="W51" s="8">
        <f>0.333/30</f>
        <v>0.0111</v>
      </c>
      <c r="X51" s="8">
        <f>0.417/30</f>
        <v>0.0139</v>
      </c>
    </row>
    <row r="52" spans="1:24" s="8" customFormat="1" ht="11.25">
      <c r="A52" s="8" t="s">
        <v>51</v>
      </c>
      <c r="G52" s="8">
        <v>0.11</v>
      </c>
      <c r="H52" s="8">
        <v>0</v>
      </c>
      <c r="I52" s="8">
        <f>0.75/30</f>
        <v>0.025</v>
      </c>
      <c r="J52" s="8">
        <f>1.2/30</f>
        <v>0.04</v>
      </c>
      <c r="K52" s="8">
        <f>0.667/30</f>
        <v>0.022233333333333334</v>
      </c>
      <c r="L52" s="8">
        <f>0.917/30</f>
        <v>0.03056666666666667</v>
      </c>
      <c r="M52" s="8">
        <f>0.3/32</f>
        <v>0.009375</v>
      </c>
      <c r="N52" s="8">
        <f>0.857/30</f>
        <v>0.028566666666666667</v>
      </c>
      <c r="O52" s="8">
        <f>1.667/30</f>
        <v>0.05556666666666667</v>
      </c>
      <c r="P52" s="8">
        <f>0.357/32</f>
        <v>0.01115625</v>
      </c>
      <c r="Q52" s="8">
        <f>1.105/30</f>
        <v>0.036833333333333336</v>
      </c>
      <c r="R52" s="8">
        <f>1/30</f>
        <v>0.03333333333333333</v>
      </c>
      <c r="S52" s="8">
        <f>1.45/30</f>
        <v>0.04833333333333333</v>
      </c>
      <c r="T52" s="8">
        <f>0.417/30</f>
        <v>0.0139</v>
      </c>
      <c r="U52" s="8">
        <f>0.538/30</f>
        <v>0.017933333333333336</v>
      </c>
      <c r="V52" s="8">
        <f>0.947/30</f>
        <v>0.031566666666666666</v>
      </c>
      <c r="W52" s="8">
        <f>0.533/30</f>
        <v>0.017766666666666667</v>
      </c>
      <c r="X52" s="8">
        <f>0.667/30</f>
        <v>0.022233333333333334</v>
      </c>
    </row>
    <row r="53" spans="1:24" s="8" customFormat="1" ht="11.25">
      <c r="A53" s="8" t="s">
        <v>76</v>
      </c>
      <c r="G53" s="8">
        <f>2.56/30</f>
        <v>0.08533333333333333</v>
      </c>
      <c r="H53" s="8">
        <f>4.67/30</f>
        <v>0.15566666666666668</v>
      </c>
      <c r="I53" s="8">
        <f>5.75/30</f>
        <v>0.19166666666666668</v>
      </c>
      <c r="J53" s="8">
        <f>3.2/30</f>
        <v>0.10666666666666667</v>
      </c>
      <c r="K53" s="8">
        <f>10.47/30</f>
        <v>0.34900000000000003</v>
      </c>
      <c r="L53" s="8">
        <f>9.17/30</f>
        <v>0.30566666666666664</v>
      </c>
      <c r="M53" s="8">
        <f>9.7/30</f>
        <v>0.3233333333333333</v>
      </c>
      <c r="N53" s="8">
        <f>9.86/30</f>
        <v>0.32866666666666666</v>
      </c>
      <c r="O53" s="8">
        <f>8.8/30</f>
        <v>0.29333333333333333</v>
      </c>
      <c r="P53" s="8">
        <f>7.14/30</f>
        <v>0.238</v>
      </c>
      <c r="Q53" s="8">
        <f>7.79/30</f>
        <v>0.25966666666666666</v>
      </c>
      <c r="R53" s="8">
        <f>9.22/30</f>
        <v>0.30733333333333335</v>
      </c>
      <c r="S53" s="8">
        <f>8.18/30</f>
        <v>0.27266666666666667</v>
      </c>
      <c r="T53" s="8">
        <f>8.417/30</f>
        <v>0.2805666666666667</v>
      </c>
      <c r="U53" s="8">
        <f>5.692/30</f>
        <v>0.18973333333333334</v>
      </c>
      <c r="V53" s="8">
        <f>10.053/30</f>
        <v>0.3351</v>
      </c>
      <c r="W53" s="8">
        <f>11.667/30</f>
        <v>0.38889999999999997</v>
      </c>
      <c r="X53" s="8">
        <f>15.667/30</f>
        <v>0.5222333333333333</v>
      </c>
    </row>
    <row r="54" spans="1:24" s="8" customFormat="1" ht="11.25">
      <c r="A54" s="8" t="s">
        <v>77</v>
      </c>
      <c r="G54" s="8">
        <f>1/30</f>
        <v>0.03333333333333333</v>
      </c>
      <c r="H54" s="8">
        <f>2/30</f>
        <v>0.06666666666666667</v>
      </c>
      <c r="I54" s="8">
        <f>0.75/30</f>
        <v>0.025</v>
      </c>
      <c r="J54" s="8">
        <v>0</v>
      </c>
      <c r="K54" s="8">
        <f>1.6/30</f>
        <v>0.05333333333333334</v>
      </c>
      <c r="L54" s="8">
        <f>1.25/30</f>
        <v>0.041666666666666664</v>
      </c>
      <c r="M54" s="8">
        <f>0.9/30</f>
        <v>0.030000000000000002</v>
      </c>
      <c r="N54" s="8">
        <f>0.57/30</f>
        <v>0.019</v>
      </c>
      <c r="O54" s="8">
        <f>0.53/30</f>
        <v>0.017666666666666667</v>
      </c>
      <c r="P54" s="8">
        <f>0.286/30</f>
        <v>0.009533333333333333</v>
      </c>
      <c r="Q54" s="8">
        <f>0.11/30</f>
        <v>0.0036666666666666666</v>
      </c>
      <c r="R54" s="8">
        <f>0.44/30</f>
        <v>0.014666666666666666</v>
      </c>
      <c r="S54" s="8">
        <f>0.45/30</f>
        <v>0.015000000000000001</v>
      </c>
      <c r="T54" s="8">
        <f>0.167/30</f>
        <v>0.005566666666666667</v>
      </c>
      <c r="U54" s="8">
        <f>0.077/30</f>
        <v>0.0025666666666666667</v>
      </c>
      <c r="V54" s="8">
        <f>0.105/30</f>
        <v>0.0035</v>
      </c>
      <c r="W54" s="8">
        <f>0.267/30</f>
        <v>0.0089</v>
      </c>
      <c r="X54" s="8">
        <f>0.25/30</f>
        <v>0.008333333333333333</v>
      </c>
    </row>
    <row r="55" spans="1:24" s="8" customFormat="1" ht="11.25">
      <c r="A55" s="8" t="s">
        <v>66</v>
      </c>
      <c r="G55" s="8">
        <f>0.33/30</f>
        <v>0.011000000000000001</v>
      </c>
      <c r="H55" s="8">
        <f>1/30</f>
        <v>0.03333333333333333</v>
      </c>
      <c r="I55" s="8">
        <f>0.5/30</f>
        <v>0.016666666666666666</v>
      </c>
      <c r="J55" s="8">
        <f>0.4/30</f>
        <v>0.013333333333333334</v>
      </c>
      <c r="K55" s="8">
        <f>0.47/30</f>
        <v>0.015666666666666666</v>
      </c>
      <c r="L55" s="8">
        <f>0.167/30</f>
        <v>0.005566666666666667</v>
      </c>
      <c r="M55" s="8">
        <f>0.1/30</f>
        <v>0.0033333333333333335</v>
      </c>
      <c r="N55" s="8">
        <f>1.14/30</f>
        <v>0.038</v>
      </c>
      <c r="O55" s="8">
        <f>1.93/30</f>
        <v>0.06433333333333333</v>
      </c>
      <c r="P55" s="8">
        <f>0.43/30</f>
        <v>0.014333333333333333</v>
      </c>
      <c r="Q55" s="8">
        <f>0.21/30</f>
        <v>0.007</v>
      </c>
      <c r="R55" s="8">
        <f>0.11/30</f>
        <v>0.0036666666666666666</v>
      </c>
      <c r="S55" s="8">
        <f>0/30</f>
        <v>0</v>
      </c>
      <c r="T55" s="8">
        <v>0</v>
      </c>
      <c r="U55" s="8">
        <v>0</v>
      </c>
      <c r="V55" s="8">
        <f>0.105/30</f>
        <v>0.0035</v>
      </c>
      <c r="W55" s="8">
        <f>0.067/30</f>
        <v>0.0022333333333333333</v>
      </c>
      <c r="X55" s="8">
        <f>0.083/30</f>
        <v>0.002766666666666667</v>
      </c>
    </row>
    <row r="56" spans="1:24" s="8" customFormat="1" ht="11.25">
      <c r="A56" s="8" t="s">
        <v>53</v>
      </c>
      <c r="G56" s="8">
        <v>0</v>
      </c>
      <c r="H56" s="8">
        <f>0.167/30</f>
        <v>0.005566666666666667</v>
      </c>
      <c r="I56" s="8">
        <f>0.5/30</f>
        <v>0.016666666666666666</v>
      </c>
      <c r="J56" s="8">
        <v>0</v>
      </c>
      <c r="K56" s="8">
        <f>0.733/30</f>
        <v>0.02443333333333333</v>
      </c>
      <c r="L56" s="8">
        <f>0.417/30</f>
        <v>0.0139</v>
      </c>
      <c r="M56" s="8">
        <f>0.2/30</f>
        <v>0.006666666666666667</v>
      </c>
      <c r="N56" s="8">
        <f>0.857/30</f>
        <v>0.028566666666666667</v>
      </c>
      <c r="O56" s="8">
        <f>0.267/30</f>
        <v>0.0089</v>
      </c>
      <c r="P56" s="8">
        <f>0.143/30</f>
        <v>0.0047666666666666664</v>
      </c>
      <c r="Q56" s="8">
        <f>0.211/30</f>
        <v>0.007033333333333333</v>
      </c>
      <c r="R56" s="8">
        <f>0.111/30</f>
        <v>0.0037</v>
      </c>
      <c r="S56" s="8">
        <f>0.27/30</f>
        <v>0.009000000000000001</v>
      </c>
      <c r="T56" s="8">
        <v>0</v>
      </c>
      <c r="U56" s="8">
        <f>0.077/30</f>
        <v>0.0025666666666666667</v>
      </c>
      <c r="V56" s="8">
        <f>0.211/30</f>
        <v>0.007033333333333333</v>
      </c>
      <c r="W56" s="8">
        <f>0.067/30</f>
        <v>0.0022333333333333333</v>
      </c>
      <c r="X56" s="8">
        <f>0.25/30</f>
        <v>0.008333333333333333</v>
      </c>
    </row>
    <row r="57" spans="1:24" s="8" customFormat="1" ht="11.25">
      <c r="A57" s="8" t="s">
        <v>55</v>
      </c>
      <c r="G57" s="8">
        <f>4.44/30</f>
        <v>0.14800000000000002</v>
      </c>
      <c r="H57" s="8">
        <f>7.167/30</f>
        <v>0.2389</v>
      </c>
      <c r="I57" s="8">
        <f>6.75/30</f>
        <v>0.225</v>
      </c>
      <c r="J57" s="8">
        <f>4.6/30</f>
        <v>0.15333333333333332</v>
      </c>
      <c r="K57" s="8">
        <f>9.07/30</f>
        <v>0.30233333333333334</v>
      </c>
      <c r="L57" s="8">
        <f>8.83/30</f>
        <v>0.29433333333333334</v>
      </c>
      <c r="M57" s="8">
        <f>9.3/30</f>
        <v>0.31</v>
      </c>
      <c r="N57" s="8">
        <v>0.438</v>
      </c>
      <c r="O57" s="8">
        <v>0.3023</v>
      </c>
      <c r="P57" s="8">
        <f>8.07/30</f>
        <v>0.269</v>
      </c>
      <c r="Q57" s="8">
        <f>5.9/30</f>
        <v>0.19666666666666668</v>
      </c>
      <c r="R57" s="8">
        <f>9.22/30</f>
        <v>0.30733333333333335</v>
      </c>
      <c r="S57" s="8">
        <f>9.09/30</f>
        <v>0.303</v>
      </c>
      <c r="T57" s="8">
        <f>7.333/30</f>
        <v>0.24443333333333334</v>
      </c>
      <c r="U57" s="8">
        <f>6.231/30</f>
        <v>0.2077</v>
      </c>
      <c r="V57" s="8">
        <f>6.579/30</f>
        <v>0.2193</v>
      </c>
      <c r="W57" s="8">
        <f>7.933/30</f>
        <v>0.26443333333333335</v>
      </c>
      <c r="X57" s="8">
        <f>7.833/30</f>
        <v>0.2611</v>
      </c>
    </row>
    <row r="58" spans="1:24" s="8" customFormat="1" ht="11.25">
      <c r="A58" s="8" t="s">
        <v>54</v>
      </c>
      <c r="G58" s="8">
        <f>0.11/30</f>
        <v>0.0036666666666666666</v>
      </c>
      <c r="H58" s="8">
        <f>0.333/30</f>
        <v>0.0111</v>
      </c>
      <c r="I58" s="8">
        <f>1/30</f>
        <v>0.03333333333333333</v>
      </c>
      <c r="J58" s="8">
        <v>0</v>
      </c>
      <c r="K58" s="8">
        <f>0.267/30</f>
        <v>0.0089</v>
      </c>
      <c r="L58" s="8">
        <v>0</v>
      </c>
      <c r="M58" s="8">
        <f>0.3/30</f>
        <v>0.01</v>
      </c>
      <c r="N58" s="8">
        <f>0.857/30</f>
        <v>0.028566666666666667</v>
      </c>
      <c r="O58" s="8">
        <f>0.2/30</f>
        <v>0.006666666666666667</v>
      </c>
      <c r="P58" s="8">
        <f>0.143/30</f>
        <v>0.0047666666666666664</v>
      </c>
      <c r="Q58" s="8">
        <f>0.368/30</f>
        <v>0.012266666666666667</v>
      </c>
      <c r="R58" s="8">
        <f>0.111/30</f>
        <v>0.0037</v>
      </c>
      <c r="S58" s="8">
        <f>0.45/30</f>
        <v>0.015000000000000001</v>
      </c>
      <c r="T58" s="8">
        <f>0.5/30</f>
        <v>0.016666666666666666</v>
      </c>
      <c r="U58" s="8">
        <f>0.308/30</f>
        <v>0.010266666666666667</v>
      </c>
      <c r="V58" s="8">
        <f>0.211/30</f>
        <v>0.007033333333333333</v>
      </c>
      <c r="W58" s="8">
        <f>0.267/30</f>
        <v>0.0089</v>
      </c>
      <c r="X58" s="8">
        <f>0.333/30</f>
        <v>0.0111</v>
      </c>
    </row>
    <row r="59" spans="1:24" s="8" customFormat="1" ht="11.25">
      <c r="A59" s="8" t="s">
        <v>24</v>
      </c>
      <c r="G59" s="8">
        <f>8.88/30</f>
        <v>0.29600000000000004</v>
      </c>
      <c r="H59" s="8">
        <f>19/30</f>
        <v>0.6333333333333333</v>
      </c>
      <c r="I59" s="8">
        <f>17.75/30</f>
        <v>0.5916666666666667</v>
      </c>
      <c r="J59" s="8">
        <f>10.2/30</f>
        <v>0.33999999999999997</v>
      </c>
      <c r="K59" s="8">
        <f>26.53/30</f>
        <v>0.8843333333333334</v>
      </c>
      <c r="L59" s="8">
        <f>23/30</f>
        <v>0.7666666666666667</v>
      </c>
      <c r="M59" s="8">
        <f>21.8/30</f>
        <v>0.7266666666666667</v>
      </c>
      <c r="N59" s="8">
        <f>30.143/30</f>
        <v>1.0047666666666666</v>
      </c>
      <c r="O59" s="8">
        <f>23.933/30</f>
        <v>0.7977666666666666</v>
      </c>
      <c r="P59" s="8">
        <f>18/30</f>
        <v>0.6</v>
      </c>
      <c r="Q59" s="8">
        <f>17.737/30</f>
        <v>0.5912333333333333</v>
      </c>
      <c r="R59" s="8">
        <f>21.111/30</f>
        <v>0.7037</v>
      </c>
      <c r="S59" s="8">
        <f>21.62/30</f>
        <v>0.7206666666666667</v>
      </c>
      <c r="T59" s="8">
        <f>19.5/30</f>
        <v>0.65</v>
      </c>
      <c r="U59" s="8">
        <f>14.616/30</f>
        <v>0.48719999999999997</v>
      </c>
      <c r="V59" s="8">
        <f>19.947/30</f>
        <v>0.6648999999999999</v>
      </c>
      <c r="W59" s="8">
        <f>21.867/30</f>
        <v>0.7289</v>
      </c>
      <c r="X59" s="8">
        <f>26.917/30</f>
        <v>0.8972333333333334</v>
      </c>
    </row>
    <row r="60" s="8" customFormat="1" ht="11.25"/>
    <row r="61" ht="11.25">
      <c r="A61" s="15" t="s">
        <v>88</v>
      </c>
    </row>
    <row r="62" spans="1:24" s="18" customFormat="1" ht="11.25">
      <c r="A62" s="18" t="s">
        <v>0</v>
      </c>
      <c r="C62" s="18">
        <v>1990</v>
      </c>
      <c r="D62" s="18">
        <v>1991</v>
      </c>
      <c r="E62" s="18">
        <v>1992</v>
      </c>
      <c r="F62" s="18">
        <v>1993</v>
      </c>
      <c r="G62" s="18">
        <v>1994</v>
      </c>
      <c r="H62" s="18">
        <v>1995</v>
      </c>
      <c r="I62" s="18">
        <v>1996</v>
      </c>
      <c r="J62" s="18">
        <v>1997</v>
      </c>
      <c r="K62" s="18">
        <v>1998</v>
      </c>
      <c r="L62" s="18">
        <v>1999</v>
      </c>
      <c r="M62" s="18">
        <v>2000</v>
      </c>
      <c r="N62" s="18">
        <v>2001</v>
      </c>
      <c r="O62" s="18">
        <v>2002</v>
      </c>
      <c r="P62" s="18">
        <v>2003</v>
      </c>
      <c r="Q62" s="18">
        <v>2004</v>
      </c>
      <c r="R62" s="18">
        <v>2005</v>
      </c>
      <c r="S62" s="18">
        <v>2006</v>
      </c>
      <c r="T62" s="18">
        <v>2007</v>
      </c>
      <c r="U62" s="18">
        <v>2008</v>
      </c>
      <c r="V62" s="18">
        <v>2009</v>
      </c>
      <c r="W62" s="18">
        <v>2010</v>
      </c>
      <c r="X62" s="18">
        <v>2011</v>
      </c>
    </row>
    <row r="63" spans="1:24" s="8" customFormat="1" ht="11.25">
      <c r="A63" s="8" t="s">
        <v>50</v>
      </c>
      <c r="L63" s="8">
        <f>0.429/20</f>
        <v>0.02145</v>
      </c>
      <c r="M63" s="8">
        <f>0.733/20</f>
        <v>0.03665</v>
      </c>
      <c r="N63" s="8">
        <f>0.1/20</f>
        <v>0.005</v>
      </c>
      <c r="O63" s="8">
        <f>1/20</f>
        <v>0.05</v>
      </c>
      <c r="P63" s="8">
        <f>0.667/20</f>
        <v>0.033350000000000005</v>
      </c>
      <c r="Q63" s="8">
        <f>0.526/20</f>
        <v>0.0263</v>
      </c>
      <c r="R63" s="8">
        <f>0.727/20</f>
        <v>0.03635</v>
      </c>
      <c r="S63" s="8">
        <f>2/20</f>
        <v>0.1</v>
      </c>
      <c r="T63" s="8">
        <f>2/20</f>
        <v>0.1</v>
      </c>
      <c r="U63" s="8">
        <f>0.923/20</f>
        <v>0.046150000000000004</v>
      </c>
      <c r="V63" s="8">
        <f>1.083/20</f>
        <v>0.05415</v>
      </c>
      <c r="W63" s="8">
        <f>1.526/20</f>
        <v>0.0763</v>
      </c>
      <c r="X63" s="8">
        <f>1.25/20</f>
        <v>0.0625</v>
      </c>
    </row>
    <row r="64" spans="1:24" s="8" customFormat="1" ht="11.25">
      <c r="A64" s="8" t="s">
        <v>51</v>
      </c>
      <c r="L64" s="8">
        <f>0.714/20</f>
        <v>0.035699999999999996</v>
      </c>
      <c r="M64" s="8">
        <f>0.133/20</f>
        <v>0.0066500000000000005</v>
      </c>
      <c r="N64" s="8">
        <f>0.7/20</f>
        <v>0.034999999999999996</v>
      </c>
      <c r="O64" s="8">
        <f>1.125/20</f>
        <v>0.05625</v>
      </c>
      <c r="P64" s="8">
        <v>0</v>
      </c>
      <c r="Q64" s="8">
        <f>0.211/20</f>
        <v>0.01055</v>
      </c>
      <c r="R64" s="8">
        <f>0.545/20</f>
        <v>0.027250000000000003</v>
      </c>
      <c r="S64" s="8">
        <f>0.5/20</f>
        <v>0.025</v>
      </c>
      <c r="T64" s="8">
        <f>0.571/20</f>
        <v>0.02855</v>
      </c>
      <c r="U64" s="8">
        <f>0.462/20</f>
        <v>0.023100000000000002</v>
      </c>
      <c r="V64" s="8">
        <f>0.083/20</f>
        <v>0.00415</v>
      </c>
      <c r="W64" s="8">
        <f>0.842/20</f>
        <v>0.0421</v>
      </c>
      <c r="X64" s="8">
        <f>1.125/20</f>
        <v>0.05625</v>
      </c>
    </row>
    <row r="65" spans="1:24" s="8" customFormat="1" ht="11.25">
      <c r="A65" s="8" t="s">
        <v>52</v>
      </c>
      <c r="L65" s="8">
        <f>5.29/20</f>
        <v>0.2645</v>
      </c>
      <c r="M65" s="8">
        <f>3.93/20</f>
        <v>0.1965</v>
      </c>
      <c r="N65" s="8">
        <f>5.3/20</f>
        <v>0.265</v>
      </c>
      <c r="O65" s="8">
        <f>8.5/20</f>
        <v>0.425</v>
      </c>
      <c r="P65" s="8">
        <f>4.33/20</f>
        <v>0.2165</v>
      </c>
      <c r="Q65" s="8">
        <f>3.95/20</f>
        <v>0.1975</v>
      </c>
      <c r="R65" s="8">
        <f>5.09/20</f>
        <v>0.2545</v>
      </c>
      <c r="S65" s="8">
        <f>5.8/20</f>
        <v>0.29</v>
      </c>
      <c r="T65" s="8">
        <f>9.571/20</f>
        <v>0.47855</v>
      </c>
      <c r="U65" s="8">
        <f>6.462/20</f>
        <v>0.3231</v>
      </c>
      <c r="V65" s="8">
        <f>6.167/20</f>
        <v>0.30835</v>
      </c>
      <c r="W65" s="8">
        <f>7.947/20</f>
        <v>0.39735</v>
      </c>
      <c r="X65" s="8">
        <f>12.25/20</f>
        <v>0.6125</v>
      </c>
    </row>
    <row r="66" spans="1:24" s="8" customFormat="1" ht="11.25">
      <c r="A66" s="8" t="s">
        <v>81</v>
      </c>
      <c r="L66" s="8">
        <f>1.57/20</f>
        <v>0.0785</v>
      </c>
      <c r="M66" s="8">
        <f>1/20</f>
        <v>0.05</v>
      </c>
      <c r="N66" s="8">
        <f>0.7/20</f>
        <v>0.034999999999999996</v>
      </c>
      <c r="O66" s="8">
        <f>1.25/20</f>
        <v>0.0625</v>
      </c>
      <c r="P66" s="8">
        <f>0.67/20</f>
        <v>0.0335</v>
      </c>
      <c r="Q66" s="8">
        <f>0.11/20</f>
        <v>0.0055</v>
      </c>
      <c r="R66" s="8">
        <f>0.46/20</f>
        <v>0.023</v>
      </c>
      <c r="S66" s="8">
        <f>0.2/20</f>
        <v>0.01</v>
      </c>
      <c r="T66" s="8">
        <f>1.143/20</f>
        <v>0.05715</v>
      </c>
      <c r="U66" s="8">
        <f>0.231/20</f>
        <v>0.011550000000000001</v>
      </c>
      <c r="V66" s="8">
        <f>0.5/20</f>
        <v>0.025</v>
      </c>
      <c r="W66" s="8">
        <f>0.579/20</f>
        <v>0.028949999999999997</v>
      </c>
      <c r="X66" s="8">
        <f>0.75/20</f>
        <v>0.0375</v>
      </c>
    </row>
    <row r="67" spans="1:24" s="8" customFormat="1" ht="11.25">
      <c r="A67" s="8" t="s">
        <v>82</v>
      </c>
      <c r="L67" s="8">
        <v>0</v>
      </c>
      <c r="M67" s="8">
        <v>0</v>
      </c>
      <c r="N67" s="8">
        <v>0</v>
      </c>
      <c r="O67" s="8">
        <f>0.375/20</f>
        <v>0.01875</v>
      </c>
      <c r="P67" s="8">
        <v>0</v>
      </c>
      <c r="Q67" s="8">
        <f>0.211/20</f>
        <v>0.01055</v>
      </c>
      <c r="R67" s="8">
        <f>0.091/20</f>
        <v>0.00455</v>
      </c>
      <c r="S67" s="8">
        <f>0.4/20</f>
        <v>0.02</v>
      </c>
      <c r="T67" s="8">
        <f>0.429/20</f>
        <v>0.02145</v>
      </c>
      <c r="U67" s="8">
        <v>0</v>
      </c>
      <c r="V67" s="8">
        <v>0</v>
      </c>
      <c r="W67" s="8">
        <f>0.105/20</f>
        <v>0.0052499999999999995</v>
      </c>
      <c r="X67" s="8">
        <f>0.125/20</f>
        <v>0.00625</v>
      </c>
    </row>
    <row r="68" spans="1:24" s="8" customFormat="1" ht="11.25">
      <c r="A68" s="8" t="s">
        <v>53</v>
      </c>
      <c r="L68" s="8">
        <v>0</v>
      </c>
      <c r="M68" s="8">
        <v>0</v>
      </c>
      <c r="N68" s="8">
        <v>0</v>
      </c>
      <c r="O68" s="8">
        <f>0.375/20</f>
        <v>0.01875</v>
      </c>
      <c r="P68" s="8">
        <v>0</v>
      </c>
      <c r="Q68" s="8">
        <f>0.211/20</f>
        <v>0.01055</v>
      </c>
      <c r="R68" s="8">
        <f>0.091/20</f>
        <v>0.00455</v>
      </c>
      <c r="S68" s="8">
        <f>0/20</f>
        <v>0</v>
      </c>
      <c r="T68" s="8">
        <f>0.143/20</f>
        <v>0.007149999999999999</v>
      </c>
      <c r="U68" s="8">
        <f>0.154/20</f>
        <v>0.0077</v>
      </c>
      <c r="V68" s="8">
        <v>0</v>
      </c>
      <c r="W68" s="8">
        <f>0.158/20</f>
        <v>0.0079</v>
      </c>
      <c r="X68" s="8">
        <v>0</v>
      </c>
    </row>
    <row r="69" spans="1:24" s="8" customFormat="1" ht="11.25">
      <c r="A69" s="8" t="s">
        <v>55</v>
      </c>
      <c r="L69" s="8">
        <f>2.57/20</f>
        <v>0.1285</v>
      </c>
      <c r="M69" s="8">
        <f>5.5/20</f>
        <v>0.275</v>
      </c>
      <c r="N69" s="8">
        <v>0.29</v>
      </c>
      <c r="O69" s="8">
        <v>0.3375</v>
      </c>
      <c r="P69" s="8">
        <f>3.5/20</f>
        <v>0.175</v>
      </c>
      <c r="Q69" s="8">
        <f>2.26/20</f>
        <v>0.11299999999999999</v>
      </c>
      <c r="R69" s="8">
        <f>5.82/20</f>
        <v>0.29100000000000004</v>
      </c>
      <c r="S69" s="8">
        <f>6.1/20</f>
        <v>0.305</v>
      </c>
      <c r="T69" s="8">
        <f>5.857/20</f>
        <v>0.29285</v>
      </c>
      <c r="U69" s="8">
        <f>3.462/20</f>
        <v>0.1731</v>
      </c>
      <c r="V69" s="8">
        <f>6.083/20</f>
        <v>0.30415000000000003</v>
      </c>
      <c r="W69" s="8">
        <f>5.053/20</f>
        <v>0.25265</v>
      </c>
      <c r="X69" s="8">
        <f>6.625/20</f>
        <v>0.33125</v>
      </c>
    </row>
    <row r="70" spans="1:24" s="8" customFormat="1" ht="11.25">
      <c r="A70" s="8" t="s">
        <v>54</v>
      </c>
      <c r="L70" s="8">
        <f>0.429/20</f>
        <v>0.02145</v>
      </c>
      <c r="M70" s="8">
        <f>0.267/20</f>
        <v>0.01335</v>
      </c>
      <c r="N70" s="8">
        <f>0.3/20</f>
        <v>0.015</v>
      </c>
      <c r="O70" s="8">
        <f>0.25/20</f>
        <v>0.0125</v>
      </c>
      <c r="P70" s="8">
        <v>0</v>
      </c>
      <c r="Q70" s="8">
        <f>0.368/20</f>
        <v>0.0184</v>
      </c>
      <c r="R70" s="8">
        <f>0.182/20</f>
        <v>0.0091</v>
      </c>
      <c r="S70" s="8">
        <f>0.3/20</f>
        <v>0.015</v>
      </c>
      <c r="T70" s="8">
        <f>0.143/20</f>
        <v>0.007149999999999999</v>
      </c>
      <c r="U70" s="8">
        <f>0.077/20</f>
        <v>0.00385</v>
      </c>
      <c r="V70" s="8">
        <f>0.083/20</f>
        <v>0.00415</v>
      </c>
      <c r="W70" s="8">
        <f>0.211/20</f>
        <v>0.01055</v>
      </c>
      <c r="X70" s="8">
        <f>0.75/20</f>
        <v>0.0375</v>
      </c>
    </row>
    <row r="71" spans="1:24" s="8" customFormat="1" ht="11.25">
      <c r="A71" s="8" t="s">
        <v>24</v>
      </c>
      <c r="L71" s="8">
        <f>11.429/20</f>
        <v>0.57145</v>
      </c>
      <c r="M71" s="8">
        <f>12.6/20</f>
        <v>0.63</v>
      </c>
      <c r="N71" s="8">
        <f>14.5/20</f>
        <v>0.725</v>
      </c>
      <c r="O71" s="8">
        <f>21.65/20</f>
        <v>1.0825</v>
      </c>
      <c r="P71" s="8">
        <f>10.667/20</f>
        <v>0.53335</v>
      </c>
      <c r="Q71" s="8">
        <f>8.105/20</f>
        <v>0.40525</v>
      </c>
      <c r="R71" s="8">
        <f>14.637/20</f>
        <v>0.73185</v>
      </c>
      <c r="S71" s="8">
        <f>15.3/20</f>
        <v>0.765</v>
      </c>
      <c r="T71" s="8">
        <f>20.172/20</f>
        <v>1.0086</v>
      </c>
      <c r="U71" s="8">
        <f>12.464/20</f>
        <v>0.6232</v>
      </c>
      <c r="V71" s="8">
        <f>15.083/20</f>
        <v>0.75415</v>
      </c>
      <c r="W71" s="8">
        <f>17.263/20</f>
        <v>0.8631500000000001</v>
      </c>
      <c r="X71" s="8">
        <f>23.875/20</f>
        <v>1.19375</v>
      </c>
    </row>
  </sheetData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jones</dc:creator>
  <cp:keywords/>
  <dc:description/>
  <cp:lastModifiedBy>Janet McLachlan</cp:lastModifiedBy>
  <cp:lastPrinted>2011-04-25T01:21:03Z</cp:lastPrinted>
  <dcterms:created xsi:type="dcterms:W3CDTF">2006-04-20T21:11:34Z</dcterms:created>
  <dcterms:modified xsi:type="dcterms:W3CDTF">2011-04-25T02:03:22Z</dcterms:modified>
  <cp:category/>
  <cp:version/>
  <cp:contentType/>
  <cp:contentStatus/>
</cp:coreProperties>
</file>